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2.xml" ContentType="application/vnd.openxmlformats-officedocument.spreadsheetml.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PublicWorks\Ritter\Construction Management\COA CM Background Information\"/>
    </mc:Choice>
  </mc:AlternateContent>
  <xr:revisionPtr revIDLastSave="0" documentId="13_ncr:1_{6248A9CA-4C36-4802-B68C-139A6820D12F}" xr6:coauthVersionLast="47" xr6:coauthVersionMax="47" xr10:uidLastSave="{00000000-0000-0000-0000-000000000000}"/>
  <bookViews>
    <workbookView xWindow="28680" yWindow="0" windowWidth="29040" windowHeight="23400" tabRatio="800" firstSheet="6" activeTab="12" xr2:uid="{18FC31B0-2588-42D4-ACA8-86BC7748A275}"/>
  </bookViews>
  <sheets>
    <sheet name="Projects" sheetId="1" r:id="rId1"/>
    <sheet name="2025-26 CIP Costs" sheetId="42" r:id="rId2"/>
    <sheet name="COA Salary Staff Time" sheetId="40" r:id="rId3"/>
    <sheet name="Current Active Projects" sheetId="26" r:id="rId4"/>
    <sheet name="Current Construction Projects" sheetId="28" r:id="rId5"/>
    <sheet name="Current Close-Out Projects" sheetId="33" r:id="rId6"/>
    <sheet name="Current Design Projects" sheetId="32" r:id="rId7"/>
    <sheet name="Water Improvements Fund" sheetId="34" r:id="rId8"/>
    <sheet name="Sanitary Sewer Fund" sheetId="35" r:id="rId9"/>
    <sheet name="ARPA Fund" sheetId="38" r:id="rId10"/>
    <sheet name="Stormwater Fund" sheetId="36" r:id="rId11"/>
    <sheet name="Street Improvements" sheetId="37" r:id="rId12"/>
    <sheet name="Bid to Const Cost Comparison" sheetId="15" r:id="rId13"/>
    <sheet name="Code Lookup" sheetId="9" r:id="rId14"/>
  </sheets>
  <definedNames>
    <definedName name="_xlcn.WorksheetConnection_ProjectList.xlsxTable1" hidden="1">Project_List[]</definedName>
    <definedName name="_xlnm.Print_Area" localSheetId="4">'Current Construction Projects'!$A$1:$C$39</definedName>
    <definedName name="_xlnm.Print_Area" localSheetId="6">'Current Design Projects'!$A$1:$C$51</definedName>
    <definedName name="_xlnm.Print_Area" localSheetId="0">Projects!$A$1:$AK$273</definedName>
  </definedNames>
  <calcPr calcId="191028"/>
  <pivotCaches>
    <pivotCache cacheId="9" r:id="rId15"/>
    <pivotCache cacheId="22"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Project List.xlsx!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AA143" i="1" l="1"/>
  <c r="C273" i="1" l="1"/>
  <c r="AF273" i="1"/>
  <c r="AH273" i="1" s="1"/>
  <c r="AG273" i="1"/>
  <c r="AL273" i="1"/>
  <c r="AA103" i="1"/>
  <c r="C198" i="1" l="1"/>
  <c r="AF198" i="1"/>
  <c r="AH198" i="1" s="1"/>
  <c r="AG198" i="1"/>
  <c r="C197" i="1"/>
  <c r="AF197" i="1"/>
  <c r="AH197" i="1" s="1"/>
  <c r="C185" i="1"/>
  <c r="AF185" i="1"/>
  <c r="AH185" i="1" s="1"/>
  <c r="AG185" i="1"/>
  <c r="AL185" i="1"/>
  <c r="C184" i="1"/>
  <c r="AF184" i="1"/>
  <c r="AH184" i="1" s="1"/>
  <c r="AG184" i="1"/>
  <c r="AG197" i="1" l="1"/>
  <c r="AJ118" i="1" l="1"/>
  <c r="AA95" i="1" l="1"/>
  <c r="AJ84" i="1"/>
  <c r="AA84" i="1"/>
  <c r="AF84" i="1" s="1"/>
  <c r="Z95" i="1" l="1"/>
  <c r="AA88" i="1" l="1"/>
  <c r="L143" i="1" l="1"/>
  <c r="C170" i="1" l="1"/>
  <c r="AF170" i="1"/>
  <c r="AH170" i="1" s="1"/>
  <c r="AG170" i="1"/>
  <c r="Y180" i="1" l="1"/>
  <c r="C154" i="1"/>
  <c r="AF154" i="1"/>
  <c r="AH154" i="1" s="1"/>
  <c r="AG154" i="1"/>
  <c r="C179" i="1" l="1"/>
  <c r="AG179" i="1"/>
  <c r="AF179" i="1"/>
  <c r="AH179" i="1" s="1"/>
  <c r="AL179" i="1"/>
  <c r="C2" i="42"/>
  <c r="C175" i="1"/>
  <c r="AF175" i="1"/>
  <c r="AH175" i="1" s="1"/>
  <c r="AJ177" i="1"/>
  <c r="AJ156" i="1"/>
  <c r="I166" i="1"/>
  <c r="I168" i="1"/>
  <c r="I270" i="1"/>
  <c r="D15" i="42"/>
  <c r="D6" i="42"/>
  <c r="D18" i="42"/>
  <c r="D17" i="42"/>
  <c r="D8" i="42"/>
  <c r="D12" i="42"/>
  <c r="D10" i="42"/>
  <c r="D11" i="42"/>
  <c r="D13" i="42"/>
  <c r="D2" i="42"/>
  <c r="D9" i="42"/>
  <c r="D5" i="42"/>
  <c r="D16" i="42"/>
  <c r="D7" i="42"/>
  <c r="D14" i="42"/>
  <c r="D3" i="42"/>
  <c r="D4" i="42"/>
  <c r="AG175" i="1" l="1"/>
  <c r="I266" i="1"/>
  <c r="C266" i="1" l="1"/>
  <c r="AF266" i="1"/>
  <c r="AH266" i="1" s="1"/>
  <c r="AG266" i="1"/>
  <c r="C271" i="1"/>
  <c r="AF271" i="1"/>
  <c r="AH271" i="1" s="1"/>
  <c r="AG271" i="1"/>
  <c r="C270" i="1"/>
  <c r="AF270" i="1"/>
  <c r="AH270" i="1" s="1"/>
  <c r="AG270" i="1"/>
  <c r="AL270" i="1"/>
  <c r="AA131" i="1" l="1"/>
  <c r="I235" i="1"/>
  <c r="AA104" i="1"/>
  <c r="AC104" i="1" s="1"/>
  <c r="I116" i="1"/>
  <c r="AA115" i="1"/>
  <c r="AC115" i="1" s="1"/>
  <c r="I45" i="1"/>
  <c r="C265" i="1"/>
  <c r="AF265" i="1"/>
  <c r="AH265" i="1" s="1"/>
  <c r="AG265" i="1"/>
  <c r="AL265" i="1"/>
  <c r="C257" i="1" l="1"/>
  <c r="C142" i="1"/>
  <c r="C254" i="1" l="1"/>
  <c r="AF254" i="1"/>
  <c r="AH254" i="1" s="1"/>
  <c r="AG254" i="1"/>
  <c r="C255" i="1"/>
  <c r="AF255" i="1"/>
  <c r="AH255" i="1" s="1"/>
  <c r="AG255" i="1"/>
  <c r="C264" i="1"/>
  <c r="AF264" i="1"/>
  <c r="AH264" i="1" s="1"/>
  <c r="C263" i="1"/>
  <c r="AF263" i="1"/>
  <c r="AH263" i="1" s="1"/>
  <c r="AG263" i="1"/>
  <c r="C237" i="1"/>
  <c r="AF237" i="1"/>
  <c r="AH237" i="1" s="1"/>
  <c r="AG237" i="1"/>
  <c r="C238" i="1"/>
  <c r="AG238" i="1"/>
  <c r="AF238" i="1"/>
  <c r="AH238" i="1" s="1"/>
  <c r="C249" i="1"/>
  <c r="AF249" i="1"/>
  <c r="AH249" i="1" s="1"/>
  <c r="AG249" i="1"/>
  <c r="C248" i="1"/>
  <c r="AG248" i="1"/>
  <c r="AF248" i="1"/>
  <c r="AH248" i="1" s="1"/>
  <c r="C221" i="1"/>
  <c r="AF221" i="1"/>
  <c r="AH221" i="1" s="1"/>
  <c r="C222" i="1"/>
  <c r="AF222" i="1"/>
  <c r="AH222" i="1" s="1"/>
  <c r="AG222" i="1"/>
  <c r="C233" i="1"/>
  <c r="AF233" i="1"/>
  <c r="AH233" i="1" s="1"/>
  <c r="C232" i="1"/>
  <c r="AF232" i="1"/>
  <c r="AH232" i="1" s="1"/>
  <c r="C204" i="1"/>
  <c r="AG204" i="1"/>
  <c r="AF204" i="1"/>
  <c r="AH204" i="1" s="1"/>
  <c r="C206" i="1"/>
  <c r="AF206" i="1"/>
  <c r="AH206" i="1" s="1"/>
  <c r="AG206" i="1"/>
  <c r="C218" i="1"/>
  <c r="AF218" i="1"/>
  <c r="AH218" i="1" s="1"/>
  <c r="C217" i="1"/>
  <c r="AF217" i="1"/>
  <c r="AH217" i="1" s="1"/>
  <c r="AG217" i="1"/>
  <c r="C192" i="1"/>
  <c r="AF192" i="1"/>
  <c r="AH192" i="1" s="1"/>
  <c r="AG192" i="1"/>
  <c r="C193" i="1"/>
  <c r="AF193" i="1"/>
  <c r="AH193" i="1" s="1"/>
  <c r="AG193" i="1"/>
  <c r="C195" i="1"/>
  <c r="AF195" i="1"/>
  <c r="AH195" i="1" s="1"/>
  <c r="AG195" i="1"/>
  <c r="C194" i="1"/>
  <c r="AF194" i="1"/>
  <c r="AH194" i="1" s="1"/>
  <c r="AG194" i="1"/>
  <c r="C159" i="1"/>
  <c r="AG159" i="1"/>
  <c r="AF159" i="1"/>
  <c r="AH159" i="1" s="1"/>
  <c r="C160" i="1"/>
  <c r="AF160" i="1"/>
  <c r="AH160" i="1" s="1"/>
  <c r="AG160" i="1"/>
  <c r="C162" i="1"/>
  <c r="AF162" i="1"/>
  <c r="AH162" i="1" s="1"/>
  <c r="C161" i="1"/>
  <c r="AF161" i="1"/>
  <c r="AH161" i="1" s="1"/>
  <c r="AG161" i="1"/>
  <c r="C262" i="1"/>
  <c r="AF262" i="1"/>
  <c r="AH262" i="1" s="1"/>
  <c r="AG262" i="1"/>
  <c r="AL262" i="1"/>
  <c r="C269" i="1"/>
  <c r="AF269" i="1"/>
  <c r="AH269" i="1" s="1"/>
  <c r="AG269" i="1"/>
  <c r="AL269" i="1"/>
  <c r="C268" i="1"/>
  <c r="AF268" i="1"/>
  <c r="AH268" i="1" s="1"/>
  <c r="AG268" i="1"/>
  <c r="AL268" i="1"/>
  <c r="AG264" i="1" l="1"/>
  <c r="AG221" i="1"/>
  <c r="AG233" i="1"/>
  <c r="AG232" i="1"/>
  <c r="AG218" i="1"/>
  <c r="AG162" i="1"/>
  <c r="C261" i="1"/>
  <c r="AF261" i="1"/>
  <c r="AH261" i="1" s="1"/>
  <c r="AG261" i="1"/>
  <c r="I246" i="1" l="1"/>
  <c r="I247" i="1"/>
  <c r="C247" i="1"/>
  <c r="AF247" i="1"/>
  <c r="AH247" i="1" s="1"/>
  <c r="AG247" i="1"/>
  <c r="C272" i="1" l="1"/>
  <c r="AF272" i="1"/>
  <c r="AH272" i="1" s="1"/>
  <c r="AL272" i="1"/>
  <c r="C267" i="1"/>
  <c r="AF267" i="1"/>
  <c r="AH267" i="1" s="1"/>
  <c r="AG267" i="1"/>
  <c r="AL267" i="1"/>
  <c r="C260" i="1"/>
  <c r="AF260" i="1"/>
  <c r="AH260" i="1" s="1"/>
  <c r="AG260" i="1"/>
  <c r="AL260" i="1"/>
  <c r="AG272" i="1" l="1"/>
  <c r="C259" i="1" l="1"/>
  <c r="AF259" i="1"/>
  <c r="AH259" i="1" s="1"/>
  <c r="AG259" i="1"/>
  <c r="C258" i="1"/>
  <c r="AF258" i="1"/>
  <c r="AH258" i="1" s="1"/>
  <c r="AG258" i="1"/>
  <c r="AL258" i="1"/>
  <c r="C205" i="1" l="1"/>
  <c r="AF205" i="1"/>
  <c r="AH205" i="1" s="1"/>
  <c r="AG205" i="1"/>
  <c r="AL205" i="1"/>
  <c r="C231" i="1"/>
  <c r="AF231" i="1"/>
  <c r="AH231" i="1" s="1"/>
  <c r="C236" i="1"/>
  <c r="AF236" i="1"/>
  <c r="AH236" i="1" s="1"/>
  <c r="AG236" i="1"/>
  <c r="AL236" i="1"/>
  <c r="AG231" i="1" l="1"/>
  <c r="C196" i="1" l="1"/>
  <c r="AF196" i="1"/>
  <c r="AH196" i="1" s="1"/>
  <c r="AG196" i="1"/>
  <c r="C202" i="1"/>
  <c r="AF202" i="1"/>
  <c r="AH202" i="1" s="1"/>
  <c r="AG202" i="1"/>
  <c r="C182" i="1"/>
  <c r="AF182" i="1"/>
  <c r="AH182" i="1" s="1"/>
  <c r="AG182" i="1" l="1"/>
  <c r="L174" i="1" l="1"/>
  <c r="AF174" i="1" s="1"/>
  <c r="AH174" i="1" s="1"/>
  <c r="C174" i="1"/>
  <c r="AL174" i="1"/>
  <c r="AG174" i="1" l="1"/>
  <c r="C89" i="1" l="1"/>
  <c r="AF89" i="1"/>
  <c r="AH89" i="1" s="1"/>
  <c r="C171" i="1"/>
  <c r="AF171" i="1"/>
  <c r="AH171" i="1" s="1"/>
  <c r="AG171" i="1"/>
  <c r="C169" i="1"/>
  <c r="C144" i="1"/>
  <c r="C113" i="1"/>
  <c r="G59" i="35"/>
  <c r="AG89" i="1" l="1"/>
  <c r="L156" i="1"/>
  <c r="C158" i="1" l="1"/>
  <c r="AG158" i="1"/>
  <c r="AF158" i="1"/>
  <c r="AH158" i="1" s="1"/>
  <c r="C176" i="1"/>
  <c r="C178" i="1"/>
  <c r="C177" i="1"/>
  <c r="AF178" i="1"/>
  <c r="AH178" i="1" s="1"/>
  <c r="AF176" i="1"/>
  <c r="AH176" i="1" s="1"/>
  <c r="AG178" i="1"/>
  <c r="AG176" i="1"/>
  <c r="AG177" i="1" l="1"/>
  <c r="AF177" i="1"/>
  <c r="AH177" i="1" s="1"/>
  <c r="C190" i="1" l="1"/>
  <c r="AF190" i="1"/>
  <c r="AH190" i="1" s="1"/>
  <c r="AL190" i="1"/>
  <c r="C253" i="1"/>
  <c r="AF253" i="1"/>
  <c r="AH253" i="1" s="1"/>
  <c r="AL253" i="1"/>
  <c r="C256" i="1"/>
  <c r="AF256" i="1"/>
  <c r="AH256" i="1" s="1"/>
  <c r="AL256" i="1"/>
  <c r="C252" i="1"/>
  <c r="AG252" i="1"/>
  <c r="AF252" i="1"/>
  <c r="AH252" i="1" s="1"/>
  <c r="AL252" i="1"/>
  <c r="G2" i="36"/>
  <c r="AJ117" i="1"/>
  <c r="G2" i="37"/>
  <c r="C200" i="1"/>
  <c r="AF200" i="1"/>
  <c r="AH200" i="1" s="1"/>
  <c r="AG200" i="1"/>
  <c r="AL200" i="1"/>
  <c r="C86" i="1"/>
  <c r="AF86" i="1"/>
  <c r="AH86" i="1" s="1"/>
  <c r="AL86" i="1"/>
  <c r="C163" i="1"/>
  <c r="AF163" i="1"/>
  <c r="AH163" i="1" s="1"/>
  <c r="AG163" i="1"/>
  <c r="AL163" i="1"/>
  <c r="C149" i="1"/>
  <c r="AG149" i="1"/>
  <c r="AF149" i="1"/>
  <c r="AH149" i="1" s="1"/>
  <c r="AL149" i="1"/>
  <c r="AA106" i="1"/>
  <c r="AG253" i="1" l="1"/>
  <c r="AG190" i="1"/>
  <c r="AG256" i="1"/>
  <c r="AG86" i="1"/>
  <c r="L80" i="1"/>
  <c r="C167" i="1" l="1"/>
  <c r="AF167" i="1"/>
  <c r="AH167" i="1" s="1"/>
  <c r="AG167" i="1"/>
  <c r="AL167" i="1"/>
  <c r="C155" i="1"/>
  <c r="AF155" i="1"/>
  <c r="AH155" i="1" s="1"/>
  <c r="AG155" i="1" l="1"/>
  <c r="AF169" i="1"/>
  <c r="AH169" i="1" s="1"/>
  <c r="AG169" i="1"/>
  <c r="AL169" i="1"/>
  <c r="AH3" i="1"/>
  <c r="F19" i="40" l="1"/>
  <c r="E38" i="40"/>
  <c r="Y7" i="1"/>
  <c r="AF2" i="1"/>
  <c r="AH2" i="1" s="1"/>
  <c r="I7" i="1"/>
  <c r="I8" i="1"/>
  <c r="H29" i="40" l="1"/>
  <c r="H2" i="40"/>
  <c r="AA109" i="1"/>
  <c r="AA90" i="1"/>
  <c r="AD20" i="1"/>
  <c r="C123" i="1" l="1"/>
  <c r="AF123" i="1"/>
  <c r="AH123" i="1" s="1"/>
  <c r="AG123" i="1"/>
  <c r="AL123" i="1"/>
  <c r="C141" i="1" l="1"/>
  <c r="AF141" i="1"/>
  <c r="AH141" i="1" s="1"/>
  <c r="AG141" i="1"/>
  <c r="AF157" i="1"/>
  <c r="AH157" i="1" s="1"/>
  <c r="AF156" i="1"/>
  <c r="AH156" i="1" s="1"/>
  <c r="I73" i="1" l="1"/>
  <c r="F35" i="40"/>
  <c r="E35" i="40"/>
  <c r="AC99" i="1" l="1"/>
  <c r="C168" i="1" l="1"/>
  <c r="AF168" i="1"/>
  <c r="AG168" i="1"/>
  <c r="I173" i="1"/>
  <c r="C173" i="1"/>
  <c r="AF173" i="1"/>
  <c r="AH173" i="1" s="1"/>
  <c r="AH168" i="1" l="1"/>
  <c r="AG173" i="1"/>
  <c r="AE54" i="1"/>
  <c r="C3" i="1"/>
  <c r="AL3" i="1"/>
  <c r="AD120" i="1" l="1"/>
  <c r="AF120" i="1" s="1"/>
  <c r="AH120" i="1" s="1"/>
  <c r="C120" i="1"/>
  <c r="AL120" i="1"/>
  <c r="E5" i="40"/>
  <c r="E3" i="40"/>
  <c r="AG120" i="1" l="1"/>
  <c r="I23" i="1"/>
  <c r="C229" i="1"/>
  <c r="AF229" i="1"/>
  <c r="AH229" i="1" s="1"/>
  <c r="C245" i="1"/>
  <c r="AF245" i="1"/>
  <c r="AH245" i="1" s="1"/>
  <c r="AG245" i="1"/>
  <c r="C244" i="1"/>
  <c r="AF244" i="1"/>
  <c r="AH244" i="1" s="1"/>
  <c r="AG244" i="1"/>
  <c r="AG229" i="1" l="1"/>
  <c r="C166" i="1"/>
  <c r="AF166" i="1"/>
  <c r="AH166" i="1" s="1"/>
  <c r="AG166" i="1"/>
  <c r="Z126" i="1" l="1"/>
  <c r="L140" i="1" l="1"/>
  <c r="C42" i="1"/>
  <c r="AF42" i="1"/>
  <c r="AH42" i="1" s="1"/>
  <c r="AG42" i="1"/>
  <c r="G116" i="37"/>
  <c r="C119" i="1"/>
  <c r="AF119" i="1"/>
  <c r="AH119" i="1" s="1"/>
  <c r="AG119" i="1"/>
  <c r="AL212" i="1"/>
  <c r="C124" i="1"/>
  <c r="AF124" i="1"/>
  <c r="AH124" i="1" s="1"/>
  <c r="AG124" i="1"/>
  <c r="L5" i="36"/>
  <c r="G63" i="36" l="1"/>
  <c r="AC78" i="1"/>
  <c r="Z52" i="1"/>
  <c r="Z78" i="1"/>
  <c r="Y52" i="1"/>
  <c r="AF52" i="1" s="1"/>
  <c r="AH52" i="1" s="1"/>
  <c r="Y78" i="1"/>
  <c r="C52" i="1"/>
  <c r="AG52" i="1"/>
  <c r="C139" i="1" l="1"/>
  <c r="AG139" i="1"/>
  <c r="AF139" i="1"/>
  <c r="AH139" i="1" s="1"/>
  <c r="AC73" i="1"/>
  <c r="AG73" i="1" s="1"/>
  <c r="Z73" i="1"/>
  <c r="Y73" i="1"/>
  <c r="AF73" i="1" s="1"/>
  <c r="AH73" i="1" s="1"/>
  <c r="C69" i="1"/>
  <c r="AF69" i="1"/>
  <c r="AH69" i="1" s="1"/>
  <c r="AG69" i="1"/>
  <c r="Z93" i="1"/>
  <c r="AC91" i="1"/>
  <c r="AG91" i="1" s="1"/>
  <c r="C91" i="1"/>
  <c r="AF91" i="1"/>
  <c r="AH91" i="1" s="1"/>
  <c r="Y94" i="1"/>
  <c r="AF94" i="1" s="1"/>
  <c r="AH94" i="1" s="1"/>
  <c r="C94" i="1"/>
  <c r="AG94" i="1"/>
  <c r="C145" i="1"/>
  <c r="AF145" i="1"/>
  <c r="AH145" i="1" s="1"/>
  <c r="AG145" i="1"/>
  <c r="C78" i="1"/>
  <c r="AG78" i="1"/>
  <c r="AF78" i="1"/>
  <c r="AH78" i="1" s="1"/>
  <c r="AG180" i="1"/>
  <c r="AF180" i="1"/>
  <c r="AH180" i="1" s="1"/>
  <c r="C180" i="1"/>
  <c r="C153" i="1"/>
  <c r="AF153" i="1"/>
  <c r="AH153" i="1" s="1"/>
  <c r="AG153" i="1"/>
  <c r="C128" i="1"/>
  <c r="AF128" i="1"/>
  <c r="AH128" i="1" s="1"/>
  <c r="AG128" i="1"/>
  <c r="C146" i="1"/>
  <c r="AG146" i="1"/>
  <c r="AF146" i="1"/>
  <c r="AH146" i="1" s="1"/>
  <c r="AD126" i="1"/>
  <c r="AF126" i="1" s="1"/>
  <c r="AH126" i="1" s="1"/>
  <c r="AG144" i="1"/>
  <c r="AF144" i="1"/>
  <c r="AH144" i="1" s="1"/>
  <c r="AG125" i="1"/>
  <c r="AF125" i="1"/>
  <c r="AH125" i="1" s="1"/>
  <c r="C125" i="1"/>
  <c r="C241" i="1"/>
  <c r="AF241" i="1"/>
  <c r="AH241" i="1" s="1"/>
  <c r="AG241" i="1"/>
  <c r="C239" i="1"/>
  <c r="AF239" i="1"/>
  <c r="AH239" i="1" s="1"/>
  <c r="AG239" i="1"/>
  <c r="C246" i="1"/>
  <c r="AG246" i="1"/>
  <c r="AF246" i="1"/>
  <c r="AH246" i="1" s="1"/>
  <c r="C243" i="1"/>
  <c r="AF243" i="1"/>
  <c r="AH243" i="1" s="1"/>
  <c r="AG243" i="1"/>
  <c r="C240" i="1"/>
  <c r="AF240" i="1"/>
  <c r="AH240" i="1" s="1"/>
  <c r="C212" i="1"/>
  <c r="AF212" i="1"/>
  <c r="AH212" i="1" s="1"/>
  <c r="AG212" i="1"/>
  <c r="C136" i="1"/>
  <c r="AF136" i="1"/>
  <c r="AH136" i="1" s="1"/>
  <c r="AG136" i="1"/>
  <c r="AG140" i="1"/>
  <c r="AG240" i="1"/>
  <c r="AG2" i="1"/>
  <c r="AG4" i="1"/>
  <c r="AG84" i="1"/>
  <c r="AG5" i="1"/>
  <c r="AG8" i="1"/>
  <c r="AG15" i="1"/>
  <c r="AG17" i="1"/>
  <c r="AG18" i="1"/>
  <c r="AG16" i="1"/>
  <c r="AG10" i="1"/>
  <c r="AG9" i="1"/>
  <c r="AG20" i="1"/>
  <c r="AG19" i="1"/>
  <c r="AG14" i="1"/>
  <c r="AG28" i="1"/>
  <c r="AG24" i="1"/>
  <c r="AG48" i="1"/>
  <c r="AG37" i="1"/>
  <c r="AG46" i="1"/>
  <c r="AG39" i="1"/>
  <c r="AG41" i="1"/>
  <c r="AG34" i="1"/>
  <c r="AG44" i="1"/>
  <c r="AG40" i="1"/>
  <c r="AG47" i="1"/>
  <c r="AG38" i="1"/>
  <c r="AG45" i="1"/>
  <c r="AG32" i="1"/>
  <c r="AG26" i="1"/>
  <c r="AG30" i="1"/>
  <c r="AG29" i="1"/>
  <c r="AG49" i="1"/>
  <c r="AG31" i="1"/>
  <c r="AG43" i="1"/>
  <c r="AG33" i="1"/>
  <c r="AG27" i="1"/>
  <c r="AG25" i="1"/>
  <c r="AG64" i="1"/>
  <c r="AG66" i="1"/>
  <c r="AG81" i="1"/>
  <c r="AG76" i="1"/>
  <c r="AG68" i="1"/>
  <c r="AG54" i="1"/>
  <c r="AG55" i="1"/>
  <c r="AG60" i="1"/>
  <c r="AG61" i="1"/>
  <c r="AG75" i="1"/>
  <c r="AG53" i="1"/>
  <c r="AG83" i="1"/>
  <c r="AG79" i="1"/>
  <c r="AG80" i="1"/>
  <c r="AG87" i="1"/>
  <c r="AG62" i="1"/>
  <c r="AG71" i="1"/>
  <c r="AG77" i="1"/>
  <c r="AG59" i="1"/>
  <c r="AG67" i="1"/>
  <c r="AG63" i="1"/>
  <c r="AG56" i="1"/>
  <c r="AG57" i="1"/>
  <c r="AG70" i="1"/>
  <c r="AG82" i="1"/>
  <c r="AG58" i="1"/>
  <c r="AG74" i="1"/>
  <c r="AG85" i="1"/>
  <c r="AG93" i="1"/>
  <c r="AG92" i="1"/>
  <c r="AG99" i="1"/>
  <c r="AG100" i="1"/>
  <c r="AG115" i="1"/>
  <c r="AG102" i="1"/>
  <c r="AG111" i="1"/>
  <c r="AG101" i="1"/>
  <c r="AG95" i="1"/>
  <c r="AG107" i="1"/>
  <c r="AG113" i="1"/>
  <c r="AG117" i="1"/>
  <c r="AG110" i="1"/>
  <c r="AG98" i="1"/>
  <c r="AG97" i="1"/>
  <c r="AG96" i="1"/>
  <c r="AG116" i="1"/>
  <c r="AG103" i="1"/>
  <c r="AG105" i="1"/>
  <c r="AG106" i="1"/>
  <c r="AG114" i="1"/>
  <c r="AG109" i="1"/>
  <c r="AG90" i="1"/>
  <c r="AG108" i="1"/>
  <c r="AG118" i="1"/>
  <c r="AG121" i="1"/>
  <c r="AG147" i="1"/>
  <c r="AG135" i="1"/>
  <c r="AG122" i="1"/>
  <c r="AG143" i="1"/>
  <c r="AG132" i="1"/>
  <c r="AG131" i="1"/>
  <c r="AG130" i="1"/>
  <c r="AG133" i="1"/>
  <c r="AG134" i="1"/>
  <c r="AG137" i="1"/>
  <c r="AG138" i="1"/>
  <c r="AG148" i="1"/>
  <c r="AG129" i="1"/>
  <c r="AG142" i="1"/>
  <c r="AG150" i="1"/>
  <c r="AG151" i="1"/>
  <c r="AG152" i="1"/>
  <c r="AG156" i="1"/>
  <c r="AG164" i="1"/>
  <c r="AG172" i="1"/>
  <c r="AG165" i="1"/>
  <c r="AG157" i="1"/>
  <c r="AG188" i="1"/>
  <c r="AG214" i="1"/>
  <c r="AG251" i="1"/>
  <c r="AG189" i="1"/>
  <c r="AG181" i="1"/>
  <c r="AG201" i="1"/>
  <c r="AG187" i="1"/>
  <c r="AG186" i="1"/>
  <c r="AG183" i="1"/>
  <c r="AG191" i="1"/>
  <c r="AG203" i="1"/>
  <c r="AG199" i="1"/>
  <c r="AG216" i="1"/>
  <c r="AG215" i="1"/>
  <c r="AG213" i="1"/>
  <c r="AG220" i="1"/>
  <c r="AG235" i="1"/>
  <c r="AG219" i="1"/>
  <c r="AG208" i="1"/>
  <c r="AG211" i="1"/>
  <c r="AG209" i="1"/>
  <c r="AG207" i="1"/>
  <c r="AG210" i="1"/>
  <c r="AG228" i="1"/>
  <c r="AG227" i="1"/>
  <c r="AG242" i="1"/>
  <c r="AG234" i="1"/>
  <c r="AG226" i="1"/>
  <c r="AG230" i="1"/>
  <c r="AG225" i="1"/>
  <c r="AG223" i="1"/>
  <c r="AG224" i="1"/>
  <c r="AG250" i="1"/>
  <c r="AG104" i="1"/>
  <c r="AG127" i="1"/>
  <c r="AG88" i="1"/>
  <c r="AG72" i="1"/>
  <c r="C72" i="1"/>
  <c r="AF72" i="1"/>
  <c r="AH72" i="1" s="1"/>
  <c r="AG23" i="1"/>
  <c r="C88" i="1"/>
  <c r="AF88" i="1"/>
  <c r="AH88" i="1" s="1"/>
  <c r="C126" i="1"/>
  <c r="AF127" i="1"/>
  <c r="AH127" i="1" s="1"/>
  <c r="C127" i="1"/>
  <c r="AF4" i="1"/>
  <c r="AH4" i="1" s="1"/>
  <c r="AH84" i="1"/>
  <c r="AF5" i="1"/>
  <c r="AH5" i="1" s="1"/>
  <c r="AF8" i="1"/>
  <c r="AH8" i="1" s="1"/>
  <c r="AF17" i="1"/>
  <c r="AH17" i="1" s="1"/>
  <c r="AF18" i="1"/>
  <c r="AH18" i="1" s="1"/>
  <c r="AF16" i="1"/>
  <c r="AH16" i="1" s="1"/>
  <c r="AF10" i="1"/>
  <c r="AH10" i="1" s="1"/>
  <c r="AF9" i="1"/>
  <c r="AH9" i="1" s="1"/>
  <c r="AF20" i="1"/>
  <c r="AH20" i="1" s="1"/>
  <c r="AF19" i="1"/>
  <c r="AH19" i="1" s="1"/>
  <c r="AF14" i="1"/>
  <c r="AH14" i="1" s="1"/>
  <c r="AF28" i="1"/>
  <c r="AH28" i="1" s="1"/>
  <c r="AF24" i="1"/>
  <c r="AH24" i="1" s="1"/>
  <c r="AF48" i="1"/>
  <c r="AH48" i="1" s="1"/>
  <c r="AF37" i="1"/>
  <c r="AH37" i="1" s="1"/>
  <c r="AF46" i="1"/>
  <c r="AH46" i="1" s="1"/>
  <c r="AF39" i="1"/>
  <c r="AH39" i="1" s="1"/>
  <c r="AF41" i="1"/>
  <c r="AH41" i="1" s="1"/>
  <c r="AF34" i="1"/>
  <c r="AH34" i="1" s="1"/>
  <c r="AF44" i="1"/>
  <c r="AH44" i="1" s="1"/>
  <c r="AF40" i="1"/>
  <c r="AH40" i="1" s="1"/>
  <c r="AF47" i="1"/>
  <c r="AH47" i="1" s="1"/>
  <c r="AF38" i="1"/>
  <c r="AH38" i="1" s="1"/>
  <c r="AF45" i="1"/>
  <c r="AH45" i="1" s="1"/>
  <c r="AF32" i="1"/>
  <c r="AH32" i="1" s="1"/>
  <c r="AF26" i="1"/>
  <c r="AH26" i="1" s="1"/>
  <c r="AF30" i="1"/>
  <c r="AH30" i="1" s="1"/>
  <c r="AF29" i="1"/>
  <c r="AH29" i="1" s="1"/>
  <c r="AF49" i="1"/>
  <c r="AH49" i="1" s="1"/>
  <c r="AF31" i="1"/>
  <c r="AH31" i="1" s="1"/>
  <c r="AF43" i="1"/>
  <c r="AH43" i="1" s="1"/>
  <c r="AF33" i="1"/>
  <c r="AH33" i="1" s="1"/>
  <c r="AF27" i="1"/>
  <c r="AH27" i="1" s="1"/>
  <c r="AF25" i="1"/>
  <c r="AH25" i="1" s="1"/>
  <c r="AF64" i="1"/>
  <c r="AH64" i="1" s="1"/>
  <c r="AF66" i="1"/>
  <c r="AH66" i="1" s="1"/>
  <c r="AF81" i="1"/>
  <c r="AH81" i="1" s="1"/>
  <c r="AF76" i="1"/>
  <c r="AH76" i="1" s="1"/>
  <c r="AF68" i="1"/>
  <c r="AH68" i="1" s="1"/>
  <c r="AF54" i="1"/>
  <c r="AH54" i="1" s="1"/>
  <c r="AF55" i="1"/>
  <c r="AH55" i="1" s="1"/>
  <c r="AF60" i="1"/>
  <c r="AH60" i="1" s="1"/>
  <c r="AF61" i="1"/>
  <c r="AH61" i="1" s="1"/>
  <c r="AF75" i="1"/>
  <c r="AH75" i="1" s="1"/>
  <c r="AF53" i="1"/>
  <c r="AH53" i="1" s="1"/>
  <c r="AF83" i="1"/>
  <c r="AH83" i="1" s="1"/>
  <c r="AF79" i="1"/>
  <c r="AH79" i="1" s="1"/>
  <c r="AF80" i="1"/>
  <c r="AH80" i="1" s="1"/>
  <c r="AF87" i="1"/>
  <c r="AH87" i="1" s="1"/>
  <c r="AF62" i="1"/>
  <c r="AH62" i="1" s="1"/>
  <c r="AF71" i="1"/>
  <c r="AH71" i="1" s="1"/>
  <c r="AF77" i="1"/>
  <c r="AH77" i="1" s="1"/>
  <c r="AF59" i="1"/>
  <c r="AH59" i="1" s="1"/>
  <c r="AF67" i="1"/>
  <c r="AH67" i="1" s="1"/>
  <c r="AF63" i="1"/>
  <c r="AH63" i="1" s="1"/>
  <c r="AF56" i="1"/>
  <c r="AH56" i="1" s="1"/>
  <c r="AF57" i="1"/>
  <c r="AH57" i="1" s="1"/>
  <c r="AF70" i="1"/>
  <c r="AH70" i="1" s="1"/>
  <c r="AF82" i="1"/>
  <c r="AH82" i="1" s="1"/>
  <c r="AF58" i="1"/>
  <c r="AH58" i="1" s="1"/>
  <c r="AF74" i="1"/>
  <c r="AH74" i="1" s="1"/>
  <c r="AF85" i="1"/>
  <c r="AH85" i="1" s="1"/>
  <c r="AF92" i="1"/>
  <c r="AH92" i="1" s="1"/>
  <c r="AF99" i="1"/>
  <c r="AH99" i="1" s="1"/>
  <c r="AF100" i="1"/>
  <c r="AH100" i="1" s="1"/>
  <c r="AF115" i="1"/>
  <c r="AH115" i="1" s="1"/>
  <c r="AF102" i="1"/>
  <c r="AH102" i="1" s="1"/>
  <c r="AF111" i="1"/>
  <c r="AH111" i="1" s="1"/>
  <c r="AF101" i="1"/>
  <c r="AH101" i="1" s="1"/>
  <c r="AF95" i="1"/>
  <c r="AH95" i="1" s="1"/>
  <c r="AF107" i="1"/>
  <c r="AH107" i="1" s="1"/>
  <c r="AF113" i="1"/>
  <c r="AH113" i="1" s="1"/>
  <c r="AF117" i="1"/>
  <c r="AH117" i="1" s="1"/>
  <c r="AF110" i="1"/>
  <c r="AH110" i="1" s="1"/>
  <c r="AF98" i="1"/>
  <c r="AH98" i="1" s="1"/>
  <c r="AF97" i="1"/>
  <c r="AH97" i="1" s="1"/>
  <c r="AF96" i="1"/>
  <c r="AH96" i="1" s="1"/>
  <c r="AF116" i="1"/>
  <c r="AH116" i="1" s="1"/>
  <c r="AF103" i="1"/>
  <c r="AH103" i="1" s="1"/>
  <c r="AF105" i="1"/>
  <c r="AH105" i="1" s="1"/>
  <c r="AF106" i="1"/>
  <c r="AH106" i="1" s="1"/>
  <c r="AF114" i="1"/>
  <c r="AH114" i="1" s="1"/>
  <c r="AF109" i="1"/>
  <c r="AH109" i="1" s="1"/>
  <c r="AF90" i="1"/>
  <c r="AH90" i="1" s="1"/>
  <c r="AF108" i="1"/>
  <c r="AH108" i="1" s="1"/>
  <c r="AF118" i="1"/>
  <c r="AH118" i="1" s="1"/>
  <c r="AF121" i="1"/>
  <c r="AH121" i="1" s="1"/>
  <c r="AF147" i="1"/>
  <c r="AH147" i="1" s="1"/>
  <c r="AF135" i="1"/>
  <c r="AH135" i="1" s="1"/>
  <c r="AF122" i="1"/>
  <c r="AH122" i="1" s="1"/>
  <c r="AF143" i="1"/>
  <c r="AH143" i="1" s="1"/>
  <c r="AF132" i="1"/>
  <c r="AH132" i="1" s="1"/>
  <c r="AF131" i="1"/>
  <c r="AH131" i="1" s="1"/>
  <c r="AF130" i="1"/>
  <c r="AH130" i="1" s="1"/>
  <c r="AF133" i="1"/>
  <c r="AH133" i="1" s="1"/>
  <c r="AF134" i="1"/>
  <c r="AH134" i="1" s="1"/>
  <c r="AF137" i="1"/>
  <c r="AH137" i="1" s="1"/>
  <c r="AF138" i="1"/>
  <c r="AH138" i="1" s="1"/>
  <c r="AF148" i="1"/>
  <c r="AH148" i="1" s="1"/>
  <c r="AF129" i="1"/>
  <c r="AH129" i="1" s="1"/>
  <c r="AF142" i="1"/>
  <c r="AH142" i="1" s="1"/>
  <c r="AF150" i="1"/>
  <c r="AH150" i="1" s="1"/>
  <c r="AF151" i="1"/>
  <c r="AH151" i="1" s="1"/>
  <c r="AF152" i="1"/>
  <c r="AH152" i="1" s="1"/>
  <c r="AF164" i="1"/>
  <c r="AH164" i="1" s="1"/>
  <c r="AF172" i="1"/>
  <c r="AH172" i="1" s="1"/>
  <c r="AF165" i="1"/>
  <c r="AH165" i="1" s="1"/>
  <c r="AF188" i="1"/>
  <c r="AH188" i="1" s="1"/>
  <c r="AF214" i="1"/>
  <c r="AH214" i="1" s="1"/>
  <c r="AF251" i="1"/>
  <c r="AH251" i="1" s="1"/>
  <c r="AF189" i="1"/>
  <c r="AH189" i="1" s="1"/>
  <c r="AF181" i="1"/>
  <c r="AH181" i="1" s="1"/>
  <c r="AF201" i="1"/>
  <c r="AH201" i="1" s="1"/>
  <c r="AF187" i="1"/>
  <c r="AH187" i="1" s="1"/>
  <c r="AF186" i="1"/>
  <c r="AH186" i="1" s="1"/>
  <c r="AF183" i="1"/>
  <c r="AH183" i="1" s="1"/>
  <c r="AF191" i="1"/>
  <c r="AH191" i="1" s="1"/>
  <c r="AF203" i="1"/>
  <c r="AH203" i="1" s="1"/>
  <c r="AF199" i="1"/>
  <c r="AH199" i="1" s="1"/>
  <c r="AF216" i="1"/>
  <c r="AH216" i="1" s="1"/>
  <c r="AF215" i="1"/>
  <c r="AH215" i="1" s="1"/>
  <c r="AF213" i="1"/>
  <c r="AH213" i="1" s="1"/>
  <c r="AF220" i="1"/>
  <c r="AH220" i="1" s="1"/>
  <c r="AF235" i="1"/>
  <c r="AH235" i="1" s="1"/>
  <c r="AF219" i="1"/>
  <c r="AH219" i="1" s="1"/>
  <c r="AF208" i="1"/>
  <c r="AH208" i="1" s="1"/>
  <c r="AF211" i="1"/>
  <c r="AH211" i="1" s="1"/>
  <c r="AF209" i="1"/>
  <c r="AH209" i="1" s="1"/>
  <c r="AF207" i="1"/>
  <c r="AH207" i="1" s="1"/>
  <c r="AF210" i="1"/>
  <c r="AH210" i="1" s="1"/>
  <c r="AF228" i="1"/>
  <c r="AH228" i="1" s="1"/>
  <c r="AF227" i="1"/>
  <c r="AH227" i="1" s="1"/>
  <c r="AF242" i="1"/>
  <c r="AH242" i="1" s="1"/>
  <c r="AF234" i="1"/>
  <c r="AH234" i="1" s="1"/>
  <c r="AF226" i="1"/>
  <c r="AH226" i="1" s="1"/>
  <c r="AF230" i="1"/>
  <c r="AH230" i="1" s="1"/>
  <c r="AF225" i="1"/>
  <c r="AH225" i="1" s="1"/>
  <c r="AF223" i="1"/>
  <c r="AH223" i="1" s="1"/>
  <c r="AF224" i="1"/>
  <c r="AH224" i="1" s="1"/>
  <c r="AF250" i="1"/>
  <c r="AH250" i="1" s="1"/>
  <c r="AF104" i="1"/>
  <c r="AH104" i="1" s="1"/>
  <c r="C104" i="1"/>
  <c r="C70" i="1"/>
  <c r="C61" i="1"/>
  <c r="C140" i="1"/>
  <c r="C208" i="1"/>
  <c r="C219" i="1"/>
  <c r="C188" i="1"/>
  <c r="C121" i="1"/>
  <c r="C189" i="1"/>
  <c r="C150" i="1"/>
  <c r="C84" i="1"/>
  <c r="C148" i="1"/>
  <c r="C116" i="1"/>
  <c r="C115" i="1"/>
  <c r="C250" i="1"/>
  <c r="C234" i="1"/>
  <c r="C220" i="1"/>
  <c r="C201" i="1"/>
  <c r="C131" i="1"/>
  <c r="C157" i="1"/>
  <c r="C225" i="1"/>
  <c r="C223" i="1"/>
  <c r="C209" i="1"/>
  <c r="C191" i="1"/>
  <c r="C164" i="1"/>
  <c r="C147" i="1"/>
  <c r="C251" i="1"/>
  <c r="C228" i="1"/>
  <c r="C213" i="1"/>
  <c r="C230" i="1"/>
  <c r="C235" i="1"/>
  <c r="C181" i="1"/>
  <c r="C242" i="1"/>
  <c r="C215" i="1"/>
  <c r="C214" i="1"/>
  <c r="C151" i="1"/>
  <c r="C224" i="1"/>
  <c r="C210" i="1"/>
  <c r="C199" i="1"/>
  <c r="C165" i="1"/>
  <c r="C227" i="1"/>
  <c r="C216" i="1"/>
  <c r="C186" i="1"/>
  <c r="C156" i="1"/>
  <c r="C226" i="1"/>
  <c r="C211" i="1"/>
  <c r="C183" i="1"/>
  <c r="C172" i="1"/>
  <c r="C207" i="1"/>
  <c r="C203" i="1"/>
  <c r="C152" i="1"/>
  <c r="C134" i="1"/>
  <c r="C133" i="1"/>
  <c r="C130" i="1"/>
  <c r="C138" i="1"/>
  <c r="Y15" i="1"/>
  <c r="AF15" i="1" s="1"/>
  <c r="AH15" i="1" s="1"/>
  <c r="C137" i="1"/>
  <c r="C31" i="1"/>
  <c r="C29" i="1"/>
  <c r="C49" i="1"/>
  <c r="C30" i="1"/>
  <c r="M112" i="1"/>
  <c r="L112" i="1"/>
  <c r="AF112" i="1" s="1"/>
  <c r="AH112" i="1" s="1"/>
  <c r="C112" i="1"/>
  <c r="C97" i="1"/>
  <c r="C110" i="1"/>
  <c r="C106" i="1"/>
  <c r="C10" i="1"/>
  <c r="L50" i="1"/>
  <c r="AF50" i="1" s="1"/>
  <c r="AH50" i="1" s="1"/>
  <c r="L51" i="1"/>
  <c r="M51" i="1"/>
  <c r="AD51" i="1" s="1"/>
  <c r="M50" i="1"/>
  <c r="C83" i="1"/>
  <c r="C87" i="1"/>
  <c r="C80" i="1"/>
  <c r="AC65" i="1"/>
  <c r="AG65" i="1" s="1"/>
  <c r="Z65" i="1"/>
  <c r="Y65" i="1"/>
  <c r="AF65" i="1" s="1"/>
  <c r="AH65" i="1" s="1"/>
  <c r="C65" i="1"/>
  <c r="C71" i="1"/>
  <c r="C77" i="1"/>
  <c r="C62" i="1"/>
  <c r="C187" i="1"/>
  <c r="C75" i="1"/>
  <c r="C60" i="1"/>
  <c r="C55" i="1"/>
  <c r="C53" i="1"/>
  <c r="C107" i="1"/>
  <c r="C58" i="1"/>
  <c r="C82" i="1"/>
  <c r="C57" i="1"/>
  <c r="C56" i="1"/>
  <c r="C81" i="1"/>
  <c r="C68" i="1"/>
  <c r="C76" i="1"/>
  <c r="C48" i="1"/>
  <c r="C24" i="1"/>
  <c r="C46" i="1"/>
  <c r="C33" i="1"/>
  <c r="C37" i="1"/>
  <c r="C45" i="1"/>
  <c r="C135" i="1"/>
  <c r="C25" i="1"/>
  <c r="C32" i="1"/>
  <c r="C27" i="1"/>
  <c r="C43" i="1"/>
  <c r="C74" i="1"/>
  <c r="C66" i="1"/>
  <c r="C63" i="1"/>
  <c r="C54" i="1"/>
  <c r="C73" i="1"/>
  <c r="C67" i="1"/>
  <c r="C51" i="1"/>
  <c r="C59" i="1"/>
  <c r="C79" i="1"/>
  <c r="C85" i="1"/>
  <c r="C99" i="1"/>
  <c r="C102" i="1"/>
  <c r="C101" i="1"/>
  <c r="C111" i="1"/>
  <c r="C95" i="1"/>
  <c r="C109" i="1"/>
  <c r="C108" i="1"/>
  <c r="C90" i="1"/>
  <c r="C93" i="1"/>
  <c r="C92" i="1"/>
  <c r="C105" i="1"/>
  <c r="C114" i="1"/>
  <c r="C98" i="1"/>
  <c r="C96" i="1"/>
  <c r="C103" i="1"/>
  <c r="C100" i="1"/>
  <c r="C117" i="1"/>
  <c r="C143" i="1"/>
  <c r="C118" i="1"/>
  <c r="C122" i="1"/>
  <c r="C132" i="1"/>
  <c r="C129" i="1"/>
  <c r="C64" i="1"/>
  <c r="C26" i="1"/>
  <c r="C47" i="1"/>
  <c r="C38" i="1"/>
  <c r="C44" i="1"/>
  <c r="C2" i="1"/>
  <c r="C4" i="1"/>
  <c r="C5" i="1"/>
  <c r="C7" i="1"/>
  <c r="C6" i="1"/>
  <c r="C50" i="1"/>
  <c r="C13" i="1"/>
  <c r="C12" i="1"/>
  <c r="C16" i="1"/>
  <c r="C14" i="1"/>
  <c r="C15" i="1"/>
  <c r="C19" i="1"/>
  <c r="C9" i="1"/>
  <c r="C20" i="1"/>
  <c r="C21" i="1"/>
  <c r="C18" i="1"/>
  <c r="C11" i="1"/>
  <c r="C22" i="1"/>
  <c r="C17" i="1"/>
  <c r="C35" i="1"/>
  <c r="C36" i="1"/>
  <c r="C39" i="1"/>
  <c r="C41" i="1"/>
  <c r="C34" i="1"/>
  <c r="C23" i="1"/>
  <c r="C40" i="1"/>
  <c r="C28" i="1"/>
  <c r="AC36" i="1"/>
  <c r="AC35" i="1"/>
  <c r="L36" i="1"/>
  <c r="L35" i="1"/>
  <c r="Z36" i="1"/>
  <c r="Z35" i="1"/>
  <c r="Y36" i="1"/>
  <c r="Y35" i="1"/>
  <c r="M36" i="1"/>
  <c r="M35" i="1"/>
  <c r="M22" i="1"/>
  <c r="M11" i="1"/>
  <c r="M21" i="1"/>
  <c r="M12" i="1"/>
  <c r="M13" i="1"/>
  <c r="L21" i="1"/>
  <c r="AG21" i="1" s="1"/>
  <c r="L22" i="1"/>
  <c r="AF22" i="1" s="1"/>
  <c r="AH22" i="1" s="1"/>
  <c r="L11" i="1"/>
  <c r="AF11" i="1" s="1"/>
  <c r="AH11" i="1" s="1"/>
  <c r="L12" i="1"/>
  <c r="AF12" i="1" s="1"/>
  <c r="AH12" i="1" s="1"/>
  <c r="L13" i="1"/>
  <c r="L7" i="1"/>
  <c r="Y6" i="1"/>
  <c r="L6" i="1"/>
  <c r="AG6" i="1" s="1"/>
  <c r="AF13" i="1" l="1"/>
  <c r="AH13" i="1" s="1"/>
  <c r="AG13" i="1"/>
  <c r="AD7" i="1"/>
  <c r="AG7" i="1" s="1"/>
  <c r="AG36" i="1"/>
  <c r="AG50" i="1"/>
  <c r="Y93" i="1"/>
  <c r="AF93" i="1" s="1"/>
  <c r="AH93" i="1" s="1"/>
  <c r="AF6" i="1"/>
  <c r="AH6" i="1" s="1"/>
  <c r="AF51" i="1"/>
  <c r="AH51" i="1" s="1"/>
  <c r="AF140" i="1"/>
  <c r="AH140" i="1" s="1"/>
  <c r="AG112" i="1"/>
  <c r="AF21" i="1"/>
  <c r="AH21" i="1" s="1"/>
  <c r="AF35" i="1"/>
  <c r="AH35" i="1" s="1"/>
  <c r="AG35" i="1"/>
  <c r="AG22" i="1"/>
  <c r="AG11" i="1"/>
  <c r="AG12" i="1"/>
  <c r="AF36" i="1"/>
  <c r="AH36" i="1" s="1"/>
  <c r="AG126" i="1"/>
  <c r="AF23" i="1"/>
  <c r="AH23" i="1" s="1"/>
  <c r="AG51" i="1"/>
  <c r="AF7" i="1" l="1"/>
  <c r="AH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Bryngelson, Mindy</author>
  </authors>
  <commentList>
    <comment ref="AB90" authorId="0" shapeId="0" xr:uid="{0480D7B4-A351-425C-B343-EB6B2E17954C}">
      <text>
        <r>
          <rPr>
            <b/>
            <sz val="9"/>
            <color indexed="81"/>
            <rFont val="Tahoma"/>
            <family val="2"/>
          </rPr>
          <t>Bryngelson, Mindy:</t>
        </r>
        <r>
          <rPr>
            <sz val="9"/>
            <color indexed="81"/>
            <rFont val="Tahoma"/>
            <family val="2"/>
          </rPr>
          <t xml:space="preserve">
San. Service</t>
        </r>
      </text>
    </comment>
    <comment ref="AB103" authorId="0" shapeId="0" xr:uid="{1ACBB85E-E56A-4F5D-BEA9-8210821F2A76}">
      <text>
        <r>
          <rPr>
            <b/>
            <sz val="9"/>
            <color indexed="81"/>
            <rFont val="Tahoma"/>
            <family val="2"/>
          </rPr>
          <t>Bryngelson, Mindy:</t>
        </r>
        <r>
          <rPr>
            <sz val="9"/>
            <color indexed="81"/>
            <rFont val="Tahoma"/>
            <family val="2"/>
          </rPr>
          <t xml:space="preserve">
Internal plumbing not working properly.  Seems new water pressure has scaled pipes and now some units are clogged and have no water.  Draintech to complete work.</t>
        </r>
      </text>
    </comment>
    <comment ref="AB104" authorId="0" shapeId="0" xr:uid="{A34463A7-944F-47F5-A7F9-8BFA5B1A88F4}">
      <text>
        <r>
          <rPr>
            <b/>
            <sz val="9"/>
            <color indexed="81"/>
            <rFont val="Tahoma"/>
            <family val="2"/>
          </rPr>
          <t>Bryngelson, Mindy:</t>
        </r>
        <r>
          <rPr>
            <sz val="9"/>
            <color indexed="81"/>
            <rFont val="Tahoma"/>
            <family val="2"/>
          </rPr>
          <t xml:space="preserve">
Landscape Repair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Bryngelson, Mindy</author>
  </authors>
  <commentList>
    <comment ref="J9" authorId="0" shapeId="0" xr:uid="{9561FCC7-940D-47F5-A60B-457034A77A18}">
      <text>
        <r>
          <rPr>
            <b/>
            <sz val="9"/>
            <color indexed="81"/>
            <rFont val="Tahoma"/>
            <family val="2"/>
          </rPr>
          <t>Bryngelson, Mindy:</t>
        </r>
        <r>
          <rPr>
            <sz val="9"/>
            <color indexed="81"/>
            <rFont val="Tahoma"/>
            <family val="2"/>
          </rPr>
          <t xml:space="preserve">
All costs associated with the acquisition of land. </t>
        </r>
      </text>
    </comment>
    <comment ref="J10" authorId="0" shapeId="0" xr:uid="{58FBDE22-1A94-4645-9368-25E771C9A203}">
      <text>
        <r>
          <rPr>
            <b/>
            <sz val="9"/>
            <color indexed="81"/>
            <rFont val="Tahoma"/>
            <family val="2"/>
          </rPr>
          <t>Bryngelson, Mindy:</t>
        </r>
        <r>
          <rPr>
            <sz val="9"/>
            <color indexed="81"/>
            <rFont val="Tahoma"/>
            <family val="2"/>
          </rPr>
          <t xml:space="preserve">
All costs associated with acquisition of right-of-way.</t>
        </r>
      </text>
    </comment>
    <comment ref="J11" authorId="0" shapeId="0" xr:uid="{C50249C4-DE3A-4900-8F3D-638B3C4A9801}">
      <text>
        <r>
          <rPr>
            <b/>
            <sz val="9"/>
            <color indexed="81"/>
            <rFont val="Tahoma"/>
            <family val="2"/>
          </rPr>
          <t>Bryngelson, Mindy:</t>
        </r>
        <r>
          <rPr>
            <sz val="9"/>
            <color indexed="81"/>
            <rFont val="Tahoma"/>
            <family val="2"/>
          </rPr>
          <t xml:space="preserve">
All costs associated with acquisition of easements. </t>
        </r>
      </text>
    </comment>
    <comment ref="J12" authorId="0" shapeId="0" xr:uid="{27D5BBEC-FC90-4701-A02E-1DCD07367841}">
      <text>
        <r>
          <rPr>
            <b/>
            <sz val="9"/>
            <color indexed="81"/>
            <rFont val="Tahoma"/>
            <family val="2"/>
          </rPr>
          <t>Bryngelson, Mindy:</t>
        </r>
        <r>
          <rPr>
            <sz val="9"/>
            <color indexed="81"/>
            <rFont val="Tahoma"/>
            <family val="2"/>
          </rPr>
          <t xml:space="preserve">
Construction and significant improvements to buildings and other major structures. </t>
        </r>
      </text>
    </comment>
    <comment ref="J13" authorId="0" shapeId="0" xr:uid="{F62CE0D3-C982-4189-8547-80EE7DB79313}">
      <text>
        <r>
          <rPr>
            <b/>
            <sz val="9"/>
            <color indexed="81"/>
            <rFont val="Tahoma"/>
            <family val="2"/>
          </rPr>
          <t>Bryngelson, Mindy:</t>
        </r>
        <r>
          <rPr>
            <sz val="9"/>
            <color indexed="81"/>
            <rFont val="Tahoma"/>
            <family val="2"/>
          </rPr>
          <t xml:space="preserve">
Costs associated with the development, construction, expansion, and replacement of the City’s utility and storm drainage systems.  Used for Electric, Water, Sewer, and Storm Water Utility CIP projects. </t>
        </r>
      </text>
    </comment>
    <comment ref="J14" authorId="0" shapeId="0" xr:uid="{EC5EB1A6-64AD-4A00-8D9D-C6D9EC5A38C7}">
      <text>
        <r>
          <rPr>
            <b/>
            <sz val="9"/>
            <color indexed="81"/>
            <rFont val="Tahoma"/>
            <family val="2"/>
          </rPr>
          <t>Bryngelson, Mindy:</t>
        </r>
        <r>
          <rPr>
            <sz val="9"/>
            <color indexed="81"/>
            <rFont val="Tahoma"/>
            <family val="2"/>
          </rPr>
          <t xml:space="preserve">
Costs associated with the development, construction, expansion, and replacement of 
the City’s transportation network.  Includes: Streets, Shared use paths, Alleys, Bridges, Sidewalks, Curb/gutter </t>
        </r>
      </text>
    </comment>
    <comment ref="J15" authorId="0" shapeId="0" xr:uid="{4BAE8605-9055-48B1-9FBC-FE81D3838AFD}">
      <text>
        <r>
          <rPr>
            <b/>
            <sz val="9"/>
            <color indexed="81"/>
            <rFont val="Tahoma"/>
            <family val="2"/>
          </rPr>
          <t>Bryngelson, Mindy:</t>
        </r>
        <r>
          <rPr>
            <sz val="9"/>
            <color indexed="81"/>
            <rFont val="Tahoma"/>
            <family val="2"/>
          </rPr>
          <t xml:space="preserve">
Costs associated with the development, construction, expansion, and replacement of the City’s traffic signal network and major signage projects. </t>
        </r>
      </text>
    </comment>
    <comment ref="J16" authorId="0" shapeId="0" xr:uid="{809184A8-FF64-4F63-8F33-B5AE66DBD79A}">
      <text>
        <r>
          <rPr>
            <b/>
            <sz val="9"/>
            <color indexed="81"/>
            <rFont val="Tahoma"/>
            <family val="2"/>
          </rPr>
          <t>Bryngelson, Mindy:</t>
        </r>
        <r>
          <rPr>
            <sz val="9"/>
            <color indexed="81"/>
            <rFont val="Tahoma"/>
            <family val="2"/>
          </rPr>
          <t xml:space="preserve">
Capital improvements not otherwise classified.  Examples includes: Park improvements, Golf course improvements, Parking lots, Airport runways, Public art, Security fencing</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F28154E-5B5E-4AB6-9F71-847D1C7B8BF9}"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8D4F3BF-895E-4A78-B0C0-24ACA4A4ACD1}" name="WorksheetConnection_Project List.xlsx!Table1" type="102" refreshedVersion="8" minRefreshableVersion="5">
    <extLst>
      <ext xmlns:x15="http://schemas.microsoft.com/office/spreadsheetml/2010/11/main" uri="{DE250136-89BD-433C-8126-D09CA5730AF9}">
        <x15:connection id="Table1">
          <x15:rangePr sourceName="_xlcn.WorksheetConnection_ProjectList.xlsxTable1"/>
        </x15:connection>
      </ext>
    </extLst>
  </connection>
</connections>
</file>

<file path=xl/sharedStrings.xml><?xml version="1.0" encoding="utf-8"?>
<sst xmlns="http://schemas.openxmlformats.org/spreadsheetml/2006/main" count="4719" uniqueCount="590">
  <si>
    <t>Hafiz</t>
  </si>
  <si>
    <t>Jake/Jared</t>
  </si>
  <si>
    <t>Jake</t>
  </si>
  <si>
    <t>Jesus</t>
  </si>
  <si>
    <t>Dean</t>
  </si>
  <si>
    <t>Keller</t>
  </si>
  <si>
    <t>EDA</t>
  </si>
  <si>
    <t>Scott M</t>
  </si>
  <si>
    <t>Cesar</t>
  </si>
  <si>
    <t>Synergy</t>
  </si>
  <si>
    <t>No</t>
  </si>
  <si>
    <t>Scott S</t>
  </si>
  <si>
    <t>Con-Struct</t>
  </si>
  <si>
    <t>Yes</t>
  </si>
  <si>
    <t>Jared</t>
  </si>
  <si>
    <t>Ames Trenching</t>
  </si>
  <si>
    <t>WHKS</t>
  </si>
  <si>
    <t>S. 16th &amp; S. Duff  Improvements</t>
  </si>
  <si>
    <t>Manatt's</t>
  </si>
  <si>
    <t xml:space="preserve">Fire Station 3 PCC Replacement </t>
  </si>
  <si>
    <t>2400 S Duff Ave</t>
  </si>
  <si>
    <t>Brothers Concrete</t>
  </si>
  <si>
    <t>Ames Plan 2040 Sanitary</t>
  </si>
  <si>
    <t>Liz</t>
  </si>
  <si>
    <t xml:space="preserve">Hafiz </t>
  </si>
  <si>
    <t xml:space="preserve">Shekar </t>
  </si>
  <si>
    <t>On-Track</t>
  </si>
  <si>
    <t>Ames High School &amp; Veenker Golf</t>
  </si>
  <si>
    <t>Municipal Tool</t>
  </si>
  <si>
    <t>Tracy</t>
  </si>
  <si>
    <t>Street Improvements</t>
  </si>
  <si>
    <t>Inspector</t>
  </si>
  <si>
    <t>Contractor</t>
  </si>
  <si>
    <t>Visu-Sewer</t>
  </si>
  <si>
    <t>CDBG</t>
  </si>
  <si>
    <t>Notes</t>
  </si>
  <si>
    <t>Design</t>
  </si>
  <si>
    <t>Construction Start Date</t>
  </si>
  <si>
    <t>Construction Completion Date</t>
  </si>
  <si>
    <t>Engineer's Est</t>
  </si>
  <si>
    <t>Bid Amount</t>
  </si>
  <si>
    <t>Planned Construction Completion Date</t>
  </si>
  <si>
    <t>NPDES Permit</t>
  </si>
  <si>
    <t>Final Construction Costs</t>
  </si>
  <si>
    <t>Design Engineer</t>
  </si>
  <si>
    <t>HR Green</t>
  </si>
  <si>
    <t>Stanley Consultants</t>
  </si>
  <si>
    <t>Current Phase</t>
  </si>
  <si>
    <t>Construction</t>
  </si>
  <si>
    <t>Complete</t>
  </si>
  <si>
    <t>Overall Budget</t>
  </si>
  <si>
    <t>57882
58953</t>
  </si>
  <si>
    <t>Bolton &amp; Menk</t>
  </si>
  <si>
    <t>MSA</t>
  </si>
  <si>
    <t>Jet Drain Services, LLC</t>
  </si>
  <si>
    <t>510-8461-489</t>
  </si>
  <si>
    <t>Northridge Heights Pond on GW Carver</t>
  </si>
  <si>
    <t>CGA</t>
  </si>
  <si>
    <t>Tallgrass Land Stewardship Co.</t>
  </si>
  <si>
    <t>Fiscal Year</t>
  </si>
  <si>
    <t>Concrete Pavement Improvements</t>
  </si>
  <si>
    <t>Arterial Street Pavement Improvements</t>
  </si>
  <si>
    <t>Prairie View Utility Extension</t>
  </si>
  <si>
    <t>Asphalt Street Pavement Improvements</t>
  </si>
  <si>
    <t>Water Distribution</t>
  </si>
  <si>
    <t>Account #</t>
  </si>
  <si>
    <t>Clear Water Diversion</t>
  </si>
  <si>
    <t>520-8542-489</t>
  </si>
  <si>
    <t>Stormwater</t>
  </si>
  <si>
    <t>560-8657-489</t>
  </si>
  <si>
    <t>Program</t>
  </si>
  <si>
    <t>Special Assessments</t>
  </si>
  <si>
    <t>Street Construction</t>
  </si>
  <si>
    <t>Airport Construction</t>
  </si>
  <si>
    <t>Park Developmnet</t>
  </si>
  <si>
    <t>Council Priority Projects</t>
  </si>
  <si>
    <t>Water Construction</t>
  </si>
  <si>
    <t>Transit</t>
  </si>
  <si>
    <t>Transit/Student Government Trust</t>
  </si>
  <si>
    <t>Transit Capital Reserve</t>
  </si>
  <si>
    <t>Stormwater Utility</t>
  </si>
  <si>
    <t>Stormwater Improvements</t>
  </si>
  <si>
    <t>Fund</t>
  </si>
  <si>
    <t>Sewer Utility</t>
  </si>
  <si>
    <t>Water Utility</t>
  </si>
  <si>
    <t>560-8636-489</t>
  </si>
  <si>
    <t>2028/29 GO Bonds</t>
  </si>
  <si>
    <t>2029/30 GO Bonds</t>
  </si>
  <si>
    <t>2030/31 GO Bonds</t>
  </si>
  <si>
    <t>Fund Name</t>
  </si>
  <si>
    <t>Water System Improvements</t>
  </si>
  <si>
    <t>E 13th Street (Duff Ave to Meadowlane Ave)</t>
  </si>
  <si>
    <t>Street System</t>
  </si>
  <si>
    <t>Street Lighting</t>
  </si>
  <si>
    <t>Public Parking</t>
  </si>
  <si>
    <t>Public Safety CIP</t>
  </si>
  <si>
    <t>Airport</t>
  </si>
  <si>
    <t>General Government CIP</t>
  </si>
  <si>
    <t>Community Development CIP</t>
  </si>
  <si>
    <t>GO Bond Debt Service</t>
  </si>
  <si>
    <t>Electric Revenue Bonds</t>
  </si>
  <si>
    <t>SRF Debt Service</t>
  </si>
  <si>
    <t>Bond Cost</t>
  </si>
  <si>
    <t>Electric Services</t>
  </si>
  <si>
    <t>Utility Customer Servie</t>
  </si>
  <si>
    <t>Utilities CIP</t>
  </si>
  <si>
    <t>Department</t>
  </si>
  <si>
    <t>Public Works Engineering</t>
  </si>
  <si>
    <t>Street Engineering CIP</t>
  </si>
  <si>
    <t>Utility Maintenance</t>
  </si>
  <si>
    <t>Utilit Locating</t>
  </si>
  <si>
    <t>Water Distribution CIP</t>
  </si>
  <si>
    <t>Sanitary Sewer CIP</t>
  </si>
  <si>
    <t>Storm Water CIP</t>
  </si>
  <si>
    <t>Storm Water Permit</t>
  </si>
  <si>
    <t>Element/Object</t>
  </si>
  <si>
    <t>Utility/Drainage Systems</t>
  </si>
  <si>
    <t>Land</t>
  </si>
  <si>
    <t>Right-of-Way</t>
  </si>
  <si>
    <t>Easements</t>
  </si>
  <si>
    <t>Buildings/Sructures</t>
  </si>
  <si>
    <t>Streets/Transportation Network</t>
  </si>
  <si>
    <t>Traffic Signals/Signs</t>
  </si>
  <si>
    <t>Other Improvements</t>
  </si>
  <si>
    <t>Division</t>
  </si>
  <si>
    <t>122-8573-489</t>
  </si>
  <si>
    <t>American Rescue Plan</t>
  </si>
  <si>
    <t>382-8101-439</t>
  </si>
  <si>
    <t>Road Use Tax</t>
  </si>
  <si>
    <t>384-8143-439</t>
  </si>
  <si>
    <t>Construction PO #s</t>
  </si>
  <si>
    <t>530-4823-489</t>
  </si>
  <si>
    <t>522-8552-489</t>
  </si>
  <si>
    <t>Sanitary Sewer System Improvements</t>
  </si>
  <si>
    <t>522-8549-489</t>
  </si>
  <si>
    <t>Fund No.</t>
  </si>
  <si>
    <t>Airport Rd (from University Blvd to S. Riverside Dr.)</t>
  </si>
  <si>
    <t>Ioway Creek (6th St. to 13th St)</t>
  </si>
  <si>
    <t>Basin 10 (Clark Ave to Maxwell Ave)</t>
  </si>
  <si>
    <t>Siphon Rehab (7 locations)</t>
  </si>
  <si>
    <t>E 20th Street (Duff Ave to Meadowlane Ave)</t>
  </si>
  <si>
    <t>Streetlight and Line Relocation</t>
  </si>
  <si>
    <t>522-8550-489</t>
  </si>
  <si>
    <t>550th (Ken Maril Rd to 265th St)</t>
  </si>
  <si>
    <t>384-8169-439</t>
  </si>
  <si>
    <t>384-8117-439</t>
  </si>
  <si>
    <t>Hoover Ave (24th St to Top-O-Hollow)</t>
  </si>
  <si>
    <t>Bloomington Waterway (Hyde Ave to Harrison Road)</t>
  </si>
  <si>
    <t>Alley (Duff Ave. to Sherman Ave.)</t>
  </si>
  <si>
    <t>S Duff Ave (5th St. to Lincoln Way)</t>
  </si>
  <si>
    <t>Stafford Ave (13th St to Carroll Ave.)</t>
  </si>
  <si>
    <t>28th St (Hoover Ave to Ferndale Ave)</t>
  </si>
  <si>
    <t>Lincoln Way (Beedle/Hickory Dr to Franklin Ave)</t>
  </si>
  <si>
    <t>Murray Dr (Northwestern to Grand Ave)</t>
  </si>
  <si>
    <t>6th St (Brookridge Ave to Northwestern Ave)</t>
  </si>
  <si>
    <t>Lincoln Way (Wilder Ave to County Line)</t>
  </si>
  <si>
    <t>US Highway 69 (Ken Maril Rd to South Past Waterway)</t>
  </si>
  <si>
    <t>S. 16th (S Grand Ave to East of S Duff Ave)</t>
  </si>
  <si>
    <t>380-8165-439</t>
  </si>
  <si>
    <t>Actual PSA Spent</t>
  </si>
  <si>
    <t>Professional Service Agreement (PSA) Amount</t>
  </si>
  <si>
    <t>381-8166-439</t>
  </si>
  <si>
    <t>Ford St (Dayton Ave to Bell Ave)
Bell Ave (E Lincoln Way to Ford Street)
S. 17th St (West of Golden Aspen Dr to S. Kellogg Ave.)
South Kellogg Ave ( S. 17th to S. 16th St)</t>
  </si>
  <si>
    <t>8th St (Northwestern Ave to Duff Ave)</t>
  </si>
  <si>
    <t>060-8166-439</t>
  </si>
  <si>
    <t>6/31/22</t>
  </si>
  <si>
    <t>060-8023-431</t>
  </si>
  <si>
    <t>381-8141-439</t>
  </si>
  <si>
    <t>560-8642-489</t>
  </si>
  <si>
    <t>Close-Out</t>
  </si>
  <si>
    <t>Community Block Grant</t>
  </si>
  <si>
    <t>087-0690-464</t>
  </si>
  <si>
    <t>CDA</t>
  </si>
  <si>
    <t>320-8142-439</t>
  </si>
  <si>
    <t>382-8142-439</t>
  </si>
  <si>
    <t>North Dakota Ave (from Ontario to UPRR)
Ontario St (from North Dakota to Woodstock)</t>
  </si>
  <si>
    <t>Harcourt Dr (from Garnet Dr to Jewel Dr)
Opal Circle (from Opal Dr to east end)
Opal Dr (Jewel Dr to Crystal St)
Top-O-Hollow Rd (Bloomington Rd to Dawes Dr.)
Turquoise Circle (Onyx St to S. End)</t>
  </si>
  <si>
    <t>382-8155-439</t>
  </si>
  <si>
    <t>Local Option Sales Tax</t>
  </si>
  <si>
    <t>030-8115-439</t>
  </si>
  <si>
    <t>560-8624-489</t>
  </si>
  <si>
    <t>382-8130-439</t>
  </si>
  <si>
    <t>North 2nd St (N Elm Ave to N Maple Ave)
South Kellogg Ave (South to Carroll Ave)</t>
  </si>
  <si>
    <t>382-8167-439</t>
  </si>
  <si>
    <t>510-8461-481</t>
  </si>
  <si>
    <t>520-8572-489</t>
  </si>
  <si>
    <t>24th St (PineHurst Dr to Hayes Ave)
Stange Ave (Blankenburg Dr. to 24th St.)</t>
  </si>
  <si>
    <t>320-8167-439</t>
  </si>
  <si>
    <t>030-8167-439</t>
  </si>
  <si>
    <t>560-8637-489</t>
  </si>
  <si>
    <t>560-8626-489</t>
  </si>
  <si>
    <t>6/31/23</t>
  </si>
  <si>
    <t>Schubert St, Taft Ave, Wheeler St, and 20th St</t>
  </si>
  <si>
    <t>382-8153-439</t>
  </si>
  <si>
    <t>US Hwy 69
Grand Ave (6th St to 12th St)
Murray Dr (1400 block)
SE 2nd St (S Duff-Sumner)
11th St (Grand - 150' east)</t>
  </si>
  <si>
    <t>Kellogg Ave (7th St. to 13th St)
11th St (Burnett Ave to Kellogg Ave)</t>
  </si>
  <si>
    <t>Douglas Ave (16th St to 17th St)
Barr Drive
17th St (Douglas Ave to West St)</t>
  </si>
  <si>
    <t>384-8101-439</t>
  </si>
  <si>
    <t>Low Point Drainage Improvements</t>
  </si>
  <si>
    <t>383-8116-439</t>
  </si>
  <si>
    <t>520-8585-489</t>
  </si>
  <si>
    <t>060-8166-439-7517</t>
  </si>
  <si>
    <t>Stormwater Erosion Control Program</t>
  </si>
  <si>
    <t>560-8638-489</t>
  </si>
  <si>
    <t>Oakwood Rd (State Ave to University Ave)</t>
  </si>
  <si>
    <t>E 7th St. (Crawford to End)
North Riverside Dr (Lincoln Way to N 3rd)</t>
  </si>
  <si>
    <t>383-8168-439</t>
  </si>
  <si>
    <t>383-8170-439</t>
  </si>
  <si>
    <t>384-8171-439</t>
  </si>
  <si>
    <t>9th St (Brookridge Ave to Northwestern Ave)
Brookridge Ave (6th St to Ridgewood Ave)
Alley (6th St to 9th St)
Lee St (Brookridge Ave to Ridgewood Ave)
Ridgewood Ave (6th St to 9th St)</t>
  </si>
  <si>
    <t>383-8122-439</t>
  </si>
  <si>
    <t>Planning</t>
  </si>
  <si>
    <t>Alley Pavement Improvements</t>
  </si>
  <si>
    <t>North/South Alley (Adams Alley between Douglas Ave &amp; Duff Ave)</t>
  </si>
  <si>
    <t>383-8154-439</t>
  </si>
  <si>
    <t>Fiscal Year Design Complete</t>
  </si>
  <si>
    <t>060-7770-439</t>
  </si>
  <si>
    <t>383-8101-439</t>
  </si>
  <si>
    <t>Neighborhood Curb Replacement Program</t>
  </si>
  <si>
    <t>Clear Creek bank Stabilization (west of Brittish Columbia Ave)</t>
  </si>
  <si>
    <t>US Highway 69 (Basin 12)</t>
  </si>
  <si>
    <t>Downtown (Basin 12)</t>
  </si>
  <si>
    <t>Basin 11</t>
  </si>
  <si>
    <t>Public Safety-Fire</t>
  </si>
  <si>
    <t>383-2260-429</t>
  </si>
  <si>
    <t>522-8554-489</t>
  </si>
  <si>
    <t>522-8553-489</t>
  </si>
  <si>
    <t>522-8551-489</t>
  </si>
  <si>
    <t>Note, 522 (SRF Funds) will no longer be available after 2024</t>
  </si>
  <si>
    <t>510-8430-489</t>
  </si>
  <si>
    <t>122-8460-489</t>
  </si>
  <si>
    <t>520-8519-489</t>
  </si>
  <si>
    <t>122-8519-489</t>
  </si>
  <si>
    <t>384-8191-439</t>
  </si>
  <si>
    <t>510-8401-489</t>
  </si>
  <si>
    <t>520-8501-489</t>
  </si>
  <si>
    <t>Welch Ave (Chamberlain St to Knapp St)
Chamberlain Place</t>
  </si>
  <si>
    <t>384-8131-439</t>
  </si>
  <si>
    <t>Prairie View West: Prairie View East</t>
  </si>
  <si>
    <t>East 16th St (Duff Ave to Maxwell Ave)
Glendale Ave (E 13th St - E 16th St)
Quebec St (4101 - Arizona Ave)
Quebec Circle</t>
  </si>
  <si>
    <t>Shive Hattery</t>
  </si>
  <si>
    <t>380-8181-439</t>
  </si>
  <si>
    <t>320-8181-439</t>
  </si>
  <si>
    <t>030-8811-439</t>
  </si>
  <si>
    <t>Fiscal Year Bid</t>
  </si>
  <si>
    <t>Grand Total</t>
  </si>
  <si>
    <t>Sum of Engineer's Est</t>
  </si>
  <si>
    <t>Sum of Bid Amount</t>
  </si>
  <si>
    <t>Sum of Final Construction Costs</t>
  </si>
  <si>
    <t>11/'19/2021</t>
  </si>
  <si>
    <t>2017/18</t>
  </si>
  <si>
    <t>2018/19</t>
  </si>
  <si>
    <t>2019/20</t>
  </si>
  <si>
    <t>2020/21</t>
  </si>
  <si>
    <t>2021/22</t>
  </si>
  <si>
    <t>2022/23</t>
  </si>
  <si>
    <t>2023/24</t>
  </si>
  <si>
    <t>2024/25</t>
  </si>
  <si>
    <t>2026/27</t>
  </si>
  <si>
    <t>2019/20 GO Bonds</t>
  </si>
  <si>
    <t>2020/21 GO Bonds</t>
  </si>
  <si>
    <t>2021/22 GO Bonds</t>
  </si>
  <si>
    <t>2022/23 GO Bonds</t>
  </si>
  <si>
    <t>2023/24 GO Bonds</t>
  </si>
  <si>
    <t>2024/25 GO Bonds</t>
  </si>
  <si>
    <t>2025/26 GO Bonds</t>
  </si>
  <si>
    <t>2026/27 GO Bonds</t>
  </si>
  <si>
    <t>2027/28 GO Bonds</t>
  </si>
  <si>
    <t>Scott Miller</t>
  </si>
  <si>
    <t>320-8183-439</t>
  </si>
  <si>
    <t>S 16th St Roadway Widening</t>
  </si>
  <si>
    <t>S. 16th (University Boulevard to Apple Place)</t>
  </si>
  <si>
    <t>381-8132-439</t>
  </si>
  <si>
    <t>2025/26</t>
  </si>
  <si>
    <t>383-8132-439</t>
  </si>
  <si>
    <t>382-8132-439</t>
  </si>
  <si>
    <t>Bloomington Road (GW Carver to Eisenhower Ave)</t>
  </si>
  <si>
    <t>West Street (Crane Ave to Hillcrest Ave)</t>
  </si>
  <si>
    <t>2027/28</t>
  </si>
  <si>
    <t>Hillcrest Ave
Ellis Street
Kentucky Ave
Illinois Ave
Indiana Ave
Oklahoma Dr
Delaware Ave (N Dakota Ave to Ontario St)</t>
  </si>
  <si>
    <t>Truman Place
Regency Court
Onyx Street
Southdale Drive
Clemens Boulevard (S. Dakota Ave to Wilder Ave)</t>
  </si>
  <si>
    <t>2028/29</t>
  </si>
  <si>
    <t>Dickinson Ave (Mortensen Ave s. through circle)
Green Hills Dr (Oakwood Rd to Red Oak Dr)
Red Oak Drive/Circle
White Oak Drive/Circle
Burr Oak Circle
Jefferson Street/Circle
Garner Ave/Circle
Nixon Ave/Circle</t>
  </si>
  <si>
    <t>North Loop Dr
9th St (Roosevelt Ave to Grand Ave)
Gaskill Dr (250' S of Friley Rd. to Country Club Blvd)
Crawford Ave (end to E. 9th St)</t>
  </si>
  <si>
    <t>6th St (Clark Ave to Duff Ave)</t>
  </si>
  <si>
    <t>7th St (Grand Ave to Burnett Ave)</t>
  </si>
  <si>
    <t>Alley south of Lincoln Way (Washington Ave to S. Walnut Ave)</t>
  </si>
  <si>
    <t>Alley south of Lincon Way (S. Kellogg Ave to Washington Ave)</t>
  </si>
  <si>
    <t>E. 13th St (McComick Ave to Dayton Ave)</t>
  </si>
  <si>
    <t>Duff Ave (20th St to Northwood Dr)</t>
  </si>
  <si>
    <t>Bloomington Road (Hoover Ave to Eisenhower Ave)</t>
  </si>
  <si>
    <t>16th Street (Grand Ave to Ridgewood Ave)</t>
  </si>
  <si>
    <t>Street Rehabilitation</t>
  </si>
  <si>
    <t>Lincoln Way Bridge Replacement</t>
  </si>
  <si>
    <t>Lincoln Way Bridge over Ioway Creek</t>
  </si>
  <si>
    <t>Oakland St. (Hawthorne Ave to Franklin Ave)</t>
  </si>
  <si>
    <t>Iowa Water &amp; Waste Systems</t>
  </si>
  <si>
    <t>S. Riverside (S. 4th St to Lincoln Way)</t>
  </si>
  <si>
    <t>N. Russell (Lincoln Way to N 2nd St)</t>
  </si>
  <si>
    <t>560-8640-489</t>
  </si>
  <si>
    <t>Ioway Creek (Stange Rd at Veenker Golf Course)</t>
  </si>
  <si>
    <t>Dayton Ave (east side ditch along USDA facility) and Worrell Creek (Ames Airport)</t>
  </si>
  <si>
    <t>2029/30</t>
  </si>
  <si>
    <t>(blank)</t>
  </si>
  <si>
    <t>560-8653-489</t>
  </si>
  <si>
    <t>560-8659-489</t>
  </si>
  <si>
    <t>560-8639-489</t>
  </si>
  <si>
    <t>6th St / Duff Ave
20th St / Northwestern Ave
S Bell Ave / SE 16th St
Grove Ave / River Oak Dr</t>
  </si>
  <si>
    <t>560-8601-489</t>
  </si>
  <si>
    <t>Stormwater Quality Improvements</t>
  </si>
  <si>
    <t>560-8603-489</t>
  </si>
  <si>
    <t>Ada Hayden Wetlands</t>
  </si>
  <si>
    <t>Ada Hayden Sturges Tributary</t>
  </si>
  <si>
    <t>South Skunk River Improvements</t>
  </si>
  <si>
    <t>Collector Street Pavement Improvements</t>
  </si>
  <si>
    <t>CDBG Improvements (Baker Subdivision)</t>
  </si>
  <si>
    <t>Seal Coat Street Pavement Improvements</t>
  </si>
  <si>
    <t xml:space="preserve">Downtown Street Improvements </t>
  </si>
  <si>
    <t xml:space="preserve">Concrete Pavement Improvements </t>
  </si>
  <si>
    <t>Cyride Route Pavement Improvements</t>
  </si>
  <si>
    <t>Campustown Public Improvements</t>
  </si>
  <si>
    <t>Alley Pavement Improvement Program</t>
  </si>
  <si>
    <t>Sanitary Sewer System</t>
  </si>
  <si>
    <t>Sanitary Sewer system Improvements</t>
  </si>
  <si>
    <t>Stormwater Improvement Program</t>
  </si>
  <si>
    <t>Stormwater Detention/Retention Maintenance Program</t>
  </si>
  <si>
    <t>030-8116-439</t>
  </si>
  <si>
    <t>Shared Use Paths</t>
  </si>
  <si>
    <t>Shared Use Path Maintenance</t>
  </si>
  <si>
    <t>384-8183-439</t>
  </si>
  <si>
    <t>Row Labels</t>
  </si>
  <si>
    <t>Sum of Overall Budget</t>
  </si>
  <si>
    <t>510-8194-439</t>
  </si>
  <si>
    <t>Right-of-Way Restoration</t>
  </si>
  <si>
    <t>Country Landscapes</t>
  </si>
  <si>
    <t>520-8194-439</t>
  </si>
  <si>
    <t>SE 16th St Ped Bridge</t>
  </si>
  <si>
    <t>S.M. Hentges &amp; Sons, Inc</t>
  </si>
  <si>
    <t>(Multiple Items)</t>
  </si>
  <si>
    <t>Clear Creek Bank Stablization (west of North Dakota Ave)</t>
  </si>
  <si>
    <t>Fiscal Year Construction Completed</t>
  </si>
  <si>
    <t>2030/31</t>
  </si>
  <si>
    <t>Curtiss Ave (13th St to 16th St)
Marston Ave (13th St to 16th St)
Phoenix Circle
Roosevelt Ave (13th St to 16th St)</t>
  </si>
  <si>
    <t>N. Russell (N 2nd St to N 4th St)</t>
  </si>
  <si>
    <t>S. Russell (S 4th to Lincoln Way)</t>
  </si>
  <si>
    <t>Hyland Ave (Lincoln Way to Ontario St)</t>
  </si>
  <si>
    <t>S 500th Avenue County Line Road</t>
  </si>
  <si>
    <t>Rognes Corp</t>
  </si>
  <si>
    <t>Street Light and Line Relocation</t>
  </si>
  <si>
    <t>Electric</t>
  </si>
  <si>
    <t>Estimated COA
Engineering / 
Admin</t>
  </si>
  <si>
    <t>Actual COA Engineering / Admin</t>
  </si>
  <si>
    <t>Actual Contractual Costs + Estimated COA</t>
  </si>
  <si>
    <t>24th St (Grand Ave east and west - 300' each)</t>
  </si>
  <si>
    <t>Wheeler Street (Hoover Ave to Roy Key Ave)</t>
  </si>
  <si>
    <t>Duff Ave (6th St to 13th St)</t>
  </si>
  <si>
    <t>South Franklin Ave (Lincoln Way to Tripp St)
Village Dr</t>
  </si>
  <si>
    <t>Roosevelt (16th St to 20th St)
Cessna St
Woodland (Franklin Ave to Hira Park)
Wilder Blvd (170' north of Rowling Dr to Lincoln Way)</t>
  </si>
  <si>
    <t>13th Street (Hyland Ave to Union Pacific RR Bridge)</t>
  </si>
  <si>
    <t>Bridge Rehabilitation Program</t>
  </si>
  <si>
    <t>Dickinson Ave (Mortensen Rd to Steinbeck St)
Steinbeck St (S Dakota Ave to Poe Ave)</t>
  </si>
  <si>
    <t>College Creek Bank Stabilization (Hemingway Drive)</t>
  </si>
  <si>
    <t>Douglas Ave (14th to 16th)</t>
  </si>
  <si>
    <t>560-8605-489</t>
  </si>
  <si>
    <t>Stormwater System Analysis</t>
  </si>
  <si>
    <t>South Skunk River (various locations between South East 16th Street and East Lincoln Way)</t>
  </si>
  <si>
    <t>560-8635-489</t>
  </si>
  <si>
    <t>561-8636-489</t>
  </si>
  <si>
    <t>1100 Kennedy St
East Lincoln Way (2000 block)
2100/2200 Jensen Ave
Barr Drive
Pearle Ave Alley
Harrison Road (1900 block)
Northridge Lane (2800 block)
Garnet Dr (700 block)
Idaho Ct (1200 block)</t>
  </si>
  <si>
    <t>Mindy/Noel</t>
  </si>
  <si>
    <t>320-8184-439</t>
  </si>
  <si>
    <t>380-8184-439</t>
  </si>
  <si>
    <t>381-8184-439</t>
  </si>
  <si>
    <t>030-881-439</t>
  </si>
  <si>
    <t>RFP</t>
  </si>
  <si>
    <t>Noel</t>
  </si>
  <si>
    <t>Alley south of Lincoln Way (S. Kellogg Ave to Sherman Ave)</t>
  </si>
  <si>
    <t>Sewer Improvements (SRF)</t>
  </si>
  <si>
    <t>122-8572-489</t>
  </si>
  <si>
    <t>060-8131-489</t>
  </si>
  <si>
    <t>381-8122-489</t>
  </si>
  <si>
    <t>030-8122-489</t>
  </si>
  <si>
    <t>383-8122-489</t>
  </si>
  <si>
    <t>383-8183-439</t>
  </si>
  <si>
    <t>MPO STBG Funds</t>
  </si>
  <si>
    <t>Project Name</t>
  </si>
  <si>
    <t>Baker Street</t>
  </si>
  <si>
    <t>4/1/2025 Account Balances</t>
  </si>
  <si>
    <t>Account</t>
  </si>
  <si>
    <t>Remaining after Encombered</t>
  </si>
  <si>
    <t>520-Sanitary Sewer Fund</t>
  </si>
  <si>
    <t>N Sunset Ridge Sanitary Sewer</t>
  </si>
  <si>
    <t>520-8571-489</t>
  </si>
  <si>
    <t>122-8571-489</t>
  </si>
  <si>
    <t>Center Ave (from Lincoln Way to E 2nd St)
Des Moines Ave (from Lincoln Way to E 3rd St)
Douglas Ave (from 7th to 10th)
E 2nd Street (from Duff Ave. to Center Ave)
E 3rd Street (from Duff Ave to E. of Des Moines St)</t>
  </si>
  <si>
    <t>Count of Project Name</t>
  </si>
  <si>
    <t>Distinct Count</t>
  </si>
  <si>
    <t>Alley south of Lincoln Way (S. Duff to S. Sherman Ave)</t>
  </si>
  <si>
    <t>Clear Creek bank stabilization and restoration (former Sands McDorman property)</t>
  </si>
  <si>
    <t>Sum of Actual PSA Spent</t>
  </si>
  <si>
    <t>Sum of Estimated COA
Engineering / 
Admin</t>
  </si>
  <si>
    <t>510-Water Utility Fund</t>
  </si>
  <si>
    <t>Program(s) Per Project</t>
  </si>
  <si>
    <t>560-8642-439</t>
  </si>
  <si>
    <t>12/31/20266</t>
  </si>
  <si>
    <t>What was previously allocated for 2023/24?</t>
  </si>
  <si>
    <t>560-8601-439</t>
  </si>
  <si>
    <t>Additional Funding</t>
  </si>
  <si>
    <t>ARPA</t>
  </si>
  <si>
    <t>Ferndale Ave (20th St to 24th St)
Furman Drive</t>
  </si>
  <si>
    <t>Washington Ave (S 3rd St to S 4th St)
S 4th St (Walnut to East End)</t>
  </si>
  <si>
    <t>Country Club (Cessna to Pearson)</t>
  </si>
  <si>
    <t>East Lincoln Way &amp; Nikkol Trunk Line</t>
  </si>
  <si>
    <t>East Lincoln Way (Freel to Teller)</t>
  </si>
  <si>
    <t>East Lincoln Way (Duff Ave to the  Skunk River)</t>
  </si>
  <si>
    <t>East Lincoln Way (Teller Ave to Potter Ave)</t>
  </si>
  <si>
    <t>COA Project Engineer</t>
  </si>
  <si>
    <t>ROW Restoration</t>
  </si>
  <si>
    <t>ROW Restoration - Water</t>
  </si>
  <si>
    <t>Sanitary Sewer Rehab</t>
  </si>
  <si>
    <t>ROW Restoration - Stormwater</t>
  </si>
  <si>
    <t>Airport Road</t>
  </si>
  <si>
    <t>E 16th St, Glendale, Quebec</t>
  </si>
  <si>
    <t>24th &amp; Stange</t>
  </si>
  <si>
    <t>560-8194-439</t>
  </si>
  <si>
    <t>Clear Creek Bank Stabilization (4921 Utah Dr)</t>
  </si>
  <si>
    <t>Low Point Drainage Improvemenets</t>
  </si>
  <si>
    <t>Cyride (Lincoln Way)</t>
  </si>
  <si>
    <t>380-8131-489</t>
  </si>
  <si>
    <t>381, 382, or 383 Accounts</t>
  </si>
  <si>
    <t>Concrete (Brookridge, etc.)</t>
  </si>
  <si>
    <t>Remaining for next FY</t>
  </si>
  <si>
    <t>Worrell Creek Bank Stabilization (south of Mortensen Pkwy from Gateway Hill Park Dr to University Blvd)</t>
  </si>
  <si>
    <t>Grand &amp; 13th Intersection</t>
  </si>
  <si>
    <t>Account/Location</t>
  </si>
  <si>
    <t xml:space="preserve">Construction </t>
  </si>
  <si>
    <t>place all in 2025/26</t>
  </si>
  <si>
    <t>Oakland St. (Oliver Ave to Hawthorne Ave)</t>
  </si>
  <si>
    <t>E 13th St (S. Dayton Ave to East of I-35)</t>
  </si>
  <si>
    <t>CMT</t>
  </si>
  <si>
    <t>560-8183-489</t>
  </si>
  <si>
    <t>060-8194-439</t>
  </si>
  <si>
    <t>Prairie View (East Industrial)</t>
  </si>
  <si>
    <t>ROW Restoration - Road Use Tax</t>
  </si>
  <si>
    <t>Ada Hayden Trail (parks)</t>
  </si>
  <si>
    <t>Fiscal Year Journaled</t>
  </si>
  <si>
    <t>Anticipated Costs Unincombered</t>
  </si>
  <si>
    <t>Target 89%</t>
  </si>
  <si>
    <t>CIP Salary Allocation</t>
  </si>
  <si>
    <t>Journal Entry Target 89%</t>
  </si>
  <si>
    <t>Sum of Differnce</t>
  </si>
  <si>
    <t>Journaled this FY</t>
  </si>
  <si>
    <t>Sum of Journaled this FY</t>
  </si>
  <si>
    <t>Ioway Creek</t>
  </si>
  <si>
    <t>Iowa Earth Works</t>
  </si>
  <si>
    <t>Construction Change Orders</t>
  </si>
  <si>
    <t>All Star Concrete</t>
  </si>
  <si>
    <t>Total Anticipated Costs (PSA+Est+COA Est)</t>
  </si>
  <si>
    <t>Remaining Budget (Budget-Total Antic.)</t>
  </si>
  <si>
    <t>Sum of Anticipated Costs Unincombered</t>
  </si>
  <si>
    <t>Highway 30 Sanitary Sewer Relocation</t>
  </si>
  <si>
    <t>Mindy</t>
  </si>
  <si>
    <t>510-7525-489</t>
  </si>
  <si>
    <t>520-7525-489</t>
  </si>
  <si>
    <t>Mark</t>
  </si>
  <si>
    <t>E. 14th St. (Glendale to Meadowlane)
Meadowlane (E. 13th St. to E. 14th St.)</t>
  </si>
  <si>
    <t>25/26 Sanitary and Storm Televising</t>
  </si>
  <si>
    <t>386-8101-489</t>
  </si>
  <si>
    <t>386-8133-439</t>
  </si>
  <si>
    <t>387-8134-439</t>
  </si>
  <si>
    <t>388-8135-439</t>
  </si>
  <si>
    <t>Downtown Street Improvements</t>
  </si>
  <si>
    <t>383-8150-439</t>
  </si>
  <si>
    <t>East/West alley north of Lincoln Way (Sherman Ave to Kellogg Ave)</t>
  </si>
  <si>
    <t>386-8160-439</t>
  </si>
  <si>
    <t>Unallocated Funds</t>
  </si>
  <si>
    <t>8/5/2025 Account Balances</t>
  </si>
  <si>
    <t>8/12/2025 Account Balances</t>
  </si>
  <si>
    <t>US 69 (Basin 12)</t>
  </si>
  <si>
    <t>Original Budget</t>
  </si>
  <si>
    <t>Canterbury Court</t>
  </si>
  <si>
    <t>20/21, 21/22, 22/23 GO Bonds and project savings</t>
  </si>
  <si>
    <t>Worrell Creek Trunk Line</t>
  </si>
  <si>
    <t>Will not proceed</t>
  </si>
  <si>
    <t>560-8641-489</t>
  </si>
  <si>
    <t>South of Ken Maril Road (extend earthen berm behind 300/400 blocks) and Crystal drainage ditch(east of Crystal Street cul-de-sac)</t>
  </si>
  <si>
    <t>6th St
Crystal Street (200 Block)</t>
  </si>
  <si>
    <t>Bidding</t>
  </si>
  <si>
    <t>Ioway Creek in Stuart Smith Park</t>
  </si>
  <si>
    <t>Hoover Ave and Adams St Intersection</t>
  </si>
  <si>
    <t>3711 and 3719 Hoover Ave</t>
  </si>
  <si>
    <t>Grand Ave Underpass</t>
  </si>
  <si>
    <t>560-8634-489</t>
  </si>
  <si>
    <t>386-8118-489</t>
  </si>
  <si>
    <t>510-8118-489</t>
  </si>
  <si>
    <t>386-8161-439</t>
  </si>
  <si>
    <t>520-8160-489</t>
  </si>
  <si>
    <t>Jackson Construction, LLC</t>
  </si>
  <si>
    <t>Bolten &amp; Menk</t>
  </si>
  <si>
    <t>9/3/2025 balance</t>
  </si>
  <si>
    <t>520-8118-489</t>
  </si>
  <si>
    <t>520-8521-489</t>
  </si>
  <si>
    <t>510-8465-489</t>
  </si>
  <si>
    <t>510-8131-489</t>
  </si>
  <si>
    <t>520-8131-489</t>
  </si>
  <si>
    <t>Moore Memorial Park Sanitary Sewer Lining</t>
  </si>
  <si>
    <t>Chamberlain St (Hayward Ave to Lynn Ave)</t>
  </si>
  <si>
    <t>320-</t>
  </si>
  <si>
    <t>387-</t>
  </si>
  <si>
    <t>510-</t>
  </si>
  <si>
    <t>520-</t>
  </si>
  <si>
    <t>388-</t>
  </si>
  <si>
    <t>389-</t>
  </si>
  <si>
    <t>390-</t>
  </si>
  <si>
    <t>391-</t>
  </si>
  <si>
    <t>E. 13th St (250' East of Meadowlane Ave to Skunk River)</t>
  </si>
  <si>
    <t>2031/32</t>
  </si>
  <si>
    <t>2032/33</t>
  </si>
  <si>
    <t>2032/33 GO Bonds</t>
  </si>
  <si>
    <t>2033/34 GO Bonds</t>
  </si>
  <si>
    <t>2031/32 GO Bonds</t>
  </si>
  <si>
    <t>Alley between Douglas Ave and Duff Ave (7th St to 8th St)</t>
  </si>
  <si>
    <t>Alley between Douglas Ave and Duff Ave (6th St to 7th St)</t>
  </si>
  <si>
    <t>Alley between Douglas Ave and Duff Ave (8th S to 9th St)</t>
  </si>
  <si>
    <t>030-</t>
  </si>
  <si>
    <t>Shared Use Path Extension</t>
  </si>
  <si>
    <t>E. 13th St (between ramps under I35)
E Lincoln Way/Dayton Ave Intersection</t>
  </si>
  <si>
    <t>392-</t>
  </si>
  <si>
    <t>Lincoln Highway and County Line Road Roundabout</t>
  </si>
  <si>
    <t>Stone Brooke Road (Fletcher to Fletcher)
Stone Brooke Circle
Douglas Ave (O'Neil to Duff)
O'Neil Dr (Douglas to Duff)</t>
  </si>
  <si>
    <t>060-</t>
  </si>
  <si>
    <t>City-Wide</t>
  </si>
  <si>
    <t>560-</t>
  </si>
  <si>
    <t>087-</t>
  </si>
  <si>
    <t>Thackery Ave (Todd Dr to Lincoln Way)
Todd Dr (Thackeray to Alcott)
Alcott Ave (Todd Dr to Lincoln Way)</t>
  </si>
  <si>
    <t xml:space="preserve">Pearson Ave (Country Club to Sunset Dr)
Greeley St (Pearson Ave to Beach Ave) </t>
  </si>
  <si>
    <t>Inis Grove (near restroom)</t>
  </si>
  <si>
    <t>Lincoln Way (Hayward Ave to Beach Ave)</t>
  </si>
  <si>
    <t>E. 13th St (McCormick Ave to Dayton Ave)</t>
  </si>
  <si>
    <t>10/02/2025 Account Balances</t>
  </si>
  <si>
    <t>7th St (Northwestern-Grand)
Wilson Ave (7th - 13th)
Hodge Ave (6th - 7th)</t>
  </si>
  <si>
    <t>7th St (Burnett to Duff)</t>
  </si>
  <si>
    <t>Program Name</t>
  </si>
  <si>
    <t>CIP</t>
  </si>
  <si>
    <t>Difference</t>
  </si>
  <si>
    <t>ok - includes $400,000 for Hwy 30</t>
  </si>
  <si>
    <t>CIP Budget</t>
  </si>
  <si>
    <t>Construction Costs</t>
  </si>
  <si>
    <t>PSA Costs</t>
  </si>
  <si>
    <t>COA Est Costs</t>
  </si>
  <si>
    <t>Total Est Costs</t>
  </si>
  <si>
    <t>Budget - Est Costs</t>
  </si>
  <si>
    <t>320-8141-439</t>
  </si>
  <si>
    <t>320-8133-439</t>
  </si>
  <si>
    <t>320-8122-439</t>
  </si>
  <si>
    <t>386-8172-439</t>
  </si>
  <si>
    <t>2025/26 CIP Projects</t>
  </si>
  <si>
    <t>May need to pull from fund balance.</t>
  </si>
  <si>
    <t>On Hold - No funding at this time.</t>
  </si>
  <si>
    <t>Pulled from fund balance - unplanned project.</t>
  </si>
  <si>
    <t>Sunset Drive (Ash Ave to Beach Ave)</t>
  </si>
  <si>
    <t>No project planned</t>
  </si>
  <si>
    <t>Will pull from fund balance ($481,421 on 10/2/2025)</t>
  </si>
  <si>
    <t>Will pull from fund balance ($90,147 on 10/2/2025)</t>
  </si>
  <si>
    <t>560-8118-489</t>
  </si>
  <si>
    <t>Will setup alternates</t>
  </si>
  <si>
    <t>defer Canterbury</t>
  </si>
  <si>
    <t>ok, will use fund balance</t>
  </si>
  <si>
    <t>Will pull from fund balance - unplanned project.</t>
  </si>
  <si>
    <t>NO</t>
  </si>
  <si>
    <t>Scott Shepard</t>
  </si>
  <si>
    <t>Sum of Percent Over/Under</t>
  </si>
  <si>
    <t>Available Balance (11/04/2025)</t>
  </si>
  <si>
    <t>122-8520-489</t>
  </si>
  <si>
    <t>Washington Ave (Lincoln Way to S 3rd St)</t>
  </si>
  <si>
    <t>State Avenue</t>
  </si>
  <si>
    <t>Detention-Retention Maintenance</t>
  </si>
  <si>
    <t>Animal Shelter Site</t>
  </si>
  <si>
    <t>Toronto St (N Dakota Ave to Garfield Ave)
Garfield Ave (north of Ontario St)
Woodstock Ave
Windsor Court</t>
  </si>
  <si>
    <t>Well Water Main Protection</t>
  </si>
  <si>
    <t>2033/37</t>
  </si>
  <si>
    <t>Campus Ave (Lincoln Way to Oakland St)</t>
  </si>
  <si>
    <t>Clark Ave (9th St to 13th St)</t>
  </si>
  <si>
    <t>Peterson Contractors Inc.</t>
  </si>
  <si>
    <t>560-8161-489</t>
  </si>
  <si>
    <t>520-8161-489</t>
  </si>
  <si>
    <t>510-8161-489</t>
  </si>
  <si>
    <t>386-8159-439</t>
  </si>
  <si>
    <t>510-8159-489</t>
  </si>
  <si>
    <t>520-8159-489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</si>
</sst>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_);[Red]\(&quot;$&quot;#,##0.00\)"/>
    <numFmt numFmtId="44" formatCode="_(&quot;$&quot;* #,##0.00_);_(&quot;$&quot;* \(#,##0.00\);_(&quot;$&quot;* &quot;-&quot;??_);_(@_)"/>
    <numFmt numFmtId="164" formatCode="&quot;$&quot;#,##0.00"/>
    <numFmt numFmtId="165" formatCode="&quot;$&quot;#,##0.00;[Red]&quot;$&quot;#,##0.00"/>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rgb="FF000000"/>
      <name val="Aptos Narrow"/>
      <family val="2"/>
      <scheme val="minor"/>
    </font>
    <font>
      <sz val="11"/>
      <name val="Aptos Narrow"/>
      <family val="2"/>
      <scheme val="minor"/>
    </font>
    <font>
      <sz val="12"/>
      <name val="Aptos Narrow"/>
      <family val="2"/>
      <scheme val="minor"/>
    </font>
    <font>
      <sz val="10"/>
      <name val="Arial"/>
      <family val="2"/>
    </font>
    <font>
      <b/>
      <sz val="16"/>
      <color theme="1"/>
      <name val="Aptos Narrow"/>
      <family val="2"/>
      <scheme val="minor"/>
    </font>
    <font>
      <sz val="9"/>
      <color indexed="81"/>
      <name val="Tahoma"/>
      <family val="2"/>
    </font>
    <font>
      <b/>
      <sz val="9"/>
      <color indexed="81"/>
      <name val="Tahoma"/>
      <family val="2"/>
    </font>
    <font>
      <sz val="11"/>
      <name val="Aptos Narrow"/>
      <family val="2"/>
    </font>
    <font>
      <sz val="8"/>
      <name val="Aptos Narrow"/>
      <family val="2"/>
      <scheme val="minor"/>
    </font>
    <font>
      <sz val="11"/>
      <color rgb="FFFF0000"/>
      <name val="Aptos Narrow"/>
      <family val="2"/>
      <scheme val="minor"/>
    </font>
    <font>
      <i/>
      <sz val="11"/>
      <color theme="1"/>
      <name val="Aptos Narrow"/>
      <family val="2"/>
      <scheme val="minor"/>
    </font>
    <font>
      <b/>
      <i/>
      <sz val="11"/>
      <color theme="1"/>
      <name val="Aptos Narrow"/>
      <family val="2"/>
      <scheme val="minor"/>
    </font>
    <font>
      <sz val="11"/>
      <color theme="1"/>
      <name val="Aptos Narrow"/>
      <family val="2"/>
    </font>
    <font>
      <i/>
      <sz val="11"/>
      <color rgb="FFFF0000"/>
      <name val="Aptos Narrow"/>
      <family val="2"/>
      <scheme val="minor"/>
    </font>
  </fonts>
  <fills count="7">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FF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theme="4"/>
      </top>
      <bottom style="double">
        <color theme="4"/>
      </bottom>
      <diagonal/>
    </border>
    <border>
      <left/>
      <right/>
      <top/>
      <bottom style="thin">
        <color indexed="64"/>
      </bottom>
      <diagonal/>
    </border>
    <border>
      <left/>
      <right/>
      <top/>
      <bottom style="double">
        <color indexed="64"/>
      </bottom>
      <diagonal/>
    </border>
  </borders>
  <cellStyleXfs count="4">
    <xf numFmtId="0" fontId="0" fillId="0" borderId="0"/>
    <xf numFmtId="44" fontId="1" fillId="0" borderId="0" applyFont="0" applyFill="0" applyBorder="0" applyAlignment="0" applyProtection="0"/>
    <xf numFmtId="0" fontId="6" fillId="0" borderId="0"/>
    <xf numFmtId="0" fontId="2" fillId="0" borderId="8" applyNumberFormat="0" applyFill="0" applyAlignment="0" applyProtection="0"/>
  </cellStyleXfs>
  <cellXfs count="106">
    <xf numFmtId="0" fontId="0" fillId="0" borderId="0" xfId="0"/>
    <xf numFmtId="0" fontId="0" fillId="0" borderId="1" xfId="0" applyBorder="1" applyAlignment="1">
      <alignment horizontal="left" wrapText="1"/>
    </xf>
    <xf numFmtId="0" fontId="4" fillId="0" borderId="1" xfId="0" applyFont="1" applyBorder="1" applyAlignment="1">
      <alignment horizontal="left" wrapText="1"/>
    </xf>
    <xf numFmtId="0" fontId="0" fillId="0" borderId="0" xfId="0" applyAlignment="1">
      <alignment horizontal="left"/>
    </xf>
    <xf numFmtId="0" fontId="4" fillId="0" borderId="2" xfId="0" applyFont="1" applyBorder="1" applyAlignment="1">
      <alignment horizontal="left" wrapText="1"/>
    </xf>
    <xf numFmtId="0" fontId="0" fillId="0" borderId="2" xfId="0" applyBorder="1" applyAlignment="1">
      <alignment horizontal="left" wrapText="1"/>
    </xf>
    <xf numFmtId="0" fontId="3" fillId="0" borderId="1" xfId="0" applyFont="1" applyBorder="1" applyAlignment="1">
      <alignment horizontal="left" wrapText="1"/>
    </xf>
    <xf numFmtId="0" fontId="7" fillId="0" borderId="1" xfId="0" applyFont="1" applyBorder="1" applyAlignment="1">
      <alignment horizontal="left" wrapText="1"/>
    </xf>
    <xf numFmtId="44" fontId="4" fillId="0" borderId="1" xfId="1" applyFont="1" applyFill="1" applyBorder="1" applyAlignment="1">
      <alignment horizontal="left" wrapText="1"/>
    </xf>
    <xf numFmtId="44" fontId="7" fillId="0" borderId="1" xfId="1" applyFont="1" applyFill="1" applyBorder="1" applyAlignment="1">
      <alignment horizontal="left" wrapText="1"/>
    </xf>
    <xf numFmtId="0" fontId="0" fillId="0" borderId="0" xfId="0" pivotButton="1"/>
    <xf numFmtId="0" fontId="0" fillId="0" borderId="0" xfId="0" applyAlignment="1">
      <alignment horizontal="left" indent="1"/>
    </xf>
    <xf numFmtId="164" fontId="4" fillId="0" borderId="1" xfId="1" applyNumberFormat="1" applyFont="1" applyFill="1" applyBorder="1" applyAlignment="1">
      <alignment horizontal="left" wrapText="1"/>
    </xf>
    <xf numFmtId="164" fontId="0" fillId="0" borderId="1" xfId="1" applyNumberFormat="1" applyFont="1" applyFill="1" applyBorder="1" applyAlignment="1">
      <alignment horizontal="left" wrapText="1"/>
    </xf>
    <xf numFmtId="164" fontId="0" fillId="0" borderId="1" xfId="1" applyNumberFormat="1" applyFont="1" applyBorder="1" applyAlignment="1">
      <alignment horizontal="left" wrapText="1"/>
    </xf>
    <xf numFmtId="164" fontId="4" fillId="0" borderId="2" xfId="0" applyNumberFormat="1" applyFont="1" applyBorder="1" applyAlignment="1">
      <alignment horizontal="left" wrapText="1"/>
    </xf>
    <xf numFmtId="164" fontId="0" fillId="0" borderId="0" xfId="0" applyNumberFormat="1"/>
    <xf numFmtId="49" fontId="0" fillId="0" borderId="0" xfId="0" applyNumberFormat="1" applyAlignment="1">
      <alignment horizontal="left"/>
    </xf>
    <xf numFmtId="49" fontId="0" fillId="0" borderId="1" xfId="0" applyNumberFormat="1" applyBorder="1" applyAlignment="1">
      <alignment horizontal="left" wrapText="1"/>
    </xf>
    <xf numFmtId="49" fontId="3" fillId="0" borderId="1" xfId="0" applyNumberFormat="1" applyFont="1" applyBorder="1" applyAlignment="1">
      <alignment horizontal="left" wrapText="1"/>
    </xf>
    <xf numFmtId="49" fontId="4" fillId="0" borderId="1" xfId="0" applyNumberFormat="1" applyFont="1" applyBorder="1" applyAlignment="1">
      <alignment horizontal="left" wrapText="1"/>
    </xf>
    <xf numFmtId="164" fontId="4" fillId="0" borderId="1" xfId="0" applyNumberFormat="1" applyFont="1" applyBorder="1" applyAlignment="1">
      <alignment horizontal="left" wrapText="1"/>
    </xf>
    <xf numFmtId="164" fontId="4" fillId="0" borderId="1" xfId="1" applyNumberFormat="1" applyFont="1" applyBorder="1" applyAlignment="1">
      <alignment horizontal="left" wrapText="1"/>
    </xf>
    <xf numFmtId="164" fontId="0" fillId="0" borderId="1" xfId="0" applyNumberFormat="1" applyBorder="1" applyAlignment="1">
      <alignment horizontal="left" wrapText="1"/>
    </xf>
    <xf numFmtId="164" fontId="0" fillId="0" borderId="2" xfId="0" applyNumberFormat="1" applyBorder="1" applyAlignment="1">
      <alignment horizontal="left" wrapText="1"/>
    </xf>
    <xf numFmtId="0" fontId="0" fillId="0" borderId="0" xfId="0" applyAlignment="1">
      <alignment horizontal="left" indent="2"/>
    </xf>
    <xf numFmtId="44" fontId="0" fillId="0" borderId="0" xfId="0" applyNumberFormat="1"/>
    <xf numFmtId="0" fontId="4" fillId="0" borderId="5" xfId="0" applyFont="1" applyBorder="1" applyAlignment="1">
      <alignment horizontal="left" wrapText="1"/>
    </xf>
    <xf numFmtId="0" fontId="0" fillId="0" borderId="5" xfId="0" applyBorder="1" applyAlignment="1">
      <alignment horizontal="left" wrapText="1"/>
    </xf>
    <xf numFmtId="0" fontId="3" fillId="0" borderId="5" xfId="0" applyFont="1" applyBorder="1" applyAlignment="1">
      <alignment horizontal="left" wrapText="1"/>
    </xf>
    <xf numFmtId="0" fontId="0" fillId="0" borderId="3" xfId="0" applyBorder="1" applyAlignment="1">
      <alignment horizontal="left" wrapText="1"/>
    </xf>
    <xf numFmtId="44" fontId="4" fillId="0" borderId="5" xfId="1" applyFont="1" applyFill="1" applyBorder="1" applyAlignment="1">
      <alignment horizontal="left" wrapText="1"/>
    </xf>
    <xf numFmtId="44" fontId="0" fillId="0" borderId="1" xfId="1" applyFont="1" applyFill="1" applyBorder="1" applyAlignment="1">
      <alignment horizontal="left" wrapText="1"/>
    </xf>
    <xf numFmtId="0" fontId="0" fillId="0" borderId="0" xfId="0" applyAlignment="1">
      <alignment horizontal="left" wrapText="1"/>
    </xf>
    <xf numFmtId="164" fontId="0" fillId="0" borderId="2" xfId="1" applyNumberFormat="1" applyFont="1" applyBorder="1" applyAlignment="1">
      <alignment horizontal="left" wrapText="1"/>
    </xf>
    <xf numFmtId="14" fontId="7" fillId="0" borderId="1" xfId="0" applyNumberFormat="1" applyFont="1" applyBorder="1" applyAlignment="1">
      <alignment horizontal="left" wrapText="1"/>
    </xf>
    <xf numFmtId="44" fontId="0" fillId="0" borderId="1" xfId="1" applyFont="1" applyBorder="1" applyAlignment="1">
      <alignment horizontal="left" wrapText="1"/>
    </xf>
    <xf numFmtId="14" fontId="0" fillId="0" borderId="1" xfId="0" applyNumberFormat="1" applyBorder="1" applyAlignment="1">
      <alignment horizontal="left" wrapText="1"/>
    </xf>
    <xf numFmtId="49" fontId="4" fillId="0" borderId="1" xfId="0" quotePrefix="1" applyNumberFormat="1" applyFont="1" applyBorder="1" applyAlignment="1">
      <alignment horizontal="left" wrapText="1"/>
    </xf>
    <xf numFmtId="0" fontId="4" fillId="2" borderId="1" xfId="0" applyFont="1" applyFill="1" applyBorder="1" applyAlignment="1">
      <alignment horizontal="left" wrapText="1"/>
    </xf>
    <xf numFmtId="44" fontId="0" fillId="0" borderId="5" xfId="1" applyFont="1" applyFill="1" applyBorder="1" applyAlignment="1">
      <alignment horizontal="left" wrapText="1"/>
    </xf>
    <xf numFmtId="49" fontId="0" fillId="0" borderId="1" xfId="0" quotePrefix="1" applyNumberFormat="1" applyBorder="1" applyAlignment="1">
      <alignment horizontal="left" wrapText="1"/>
    </xf>
    <xf numFmtId="44" fontId="0" fillId="0" borderId="5" xfId="1" applyFont="1" applyBorder="1" applyAlignment="1">
      <alignment horizontal="left" wrapText="1"/>
    </xf>
    <xf numFmtId="0" fontId="0" fillId="0" borderId="4" xfId="0" applyBorder="1" applyAlignment="1">
      <alignment horizontal="left" wrapText="1"/>
    </xf>
    <xf numFmtId="14" fontId="4" fillId="0" borderId="1" xfId="0" applyNumberFormat="1" applyFont="1" applyBorder="1" applyAlignment="1">
      <alignment horizontal="left" wrapText="1"/>
    </xf>
    <xf numFmtId="0" fontId="5" fillId="0" borderId="1" xfId="0" applyFont="1" applyBorder="1" applyAlignment="1">
      <alignment horizontal="left" wrapText="1"/>
    </xf>
    <xf numFmtId="0" fontId="6" fillId="0" borderId="1" xfId="2" applyBorder="1" applyAlignment="1">
      <alignment horizontal="left" wrapText="1"/>
    </xf>
    <xf numFmtId="44" fontId="6" fillId="0" borderId="1" xfId="1" applyFont="1" applyFill="1" applyBorder="1" applyAlignment="1">
      <alignment horizontal="left" wrapText="1"/>
    </xf>
    <xf numFmtId="14" fontId="0" fillId="0" borderId="2" xfId="0" applyNumberFormat="1" applyBorder="1" applyAlignment="1">
      <alignment horizontal="left" wrapText="1"/>
    </xf>
    <xf numFmtId="44" fontId="0" fillId="0" borderId="2" xfId="1" applyFont="1" applyFill="1" applyBorder="1" applyAlignment="1">
      <alignment horizontal="left" wrapText="1"/>
    </xf>
    <xf numFmtId="164" fontId="0" fillId="0" borderId="2" xfId="1" applyNumberFormat="1" applyFont="1" applyFill="1" applyBorder="1" applyAlignment="1">
      <alignment horizontal="left" wrapText="1"/>
    </xf>
    <xf numFmtId="44" fontId="0" fillId="0" borderId="3" xfId="1" applyFont="1" applyBorder="1" applyAlignment="1">
      <alignment horizontal="left" wrapText="1"/>
    </xf>
    <xf numFmtId="0" fontId="0" fillId="0" borderId="6" xfId="0" applyBorder="1" applyAlignment="1">
      <alignment horizontal="left" wrapText="1"/>
    </xf>
    <xf numFmtId="44" fontId="4" fillId="0" borderId="2" xfId="1" applyFont="1" applyFill="1" applyBorder="1" applyAlignment="1">
      <alignment horizontal="left" wrapText="1"/>
    </xf>
    <xf numFmtId="44" fontId="0" fillId="0" borderId="2" xfId="1" applyFont="1" applyBorder="1" applyAlignment="1">
      <alignment horizontal="left" wrapText="1"/>
    </xf>
    <xf numFmtId="44" fontId="0" fillId="0" borderId="0" xfId="1" applyFont="1"/>
    <xf numFmtId="0" fontId="7" fillId="0" borderId="7" xfId="0" applyFont="1" applyBorder="1" applyAlignment="1">
      <alignment horizontal="left" wrapText="1"/>
    </xf>
    <xf numFmtId="44" fontId="0" fillId="0" borderId="3" xfId="1" applyFont="1" applyFill="1" applyBorder="1" applyAlignment="1">
      <alignment horizontal="left" wrapText="1"/>
    </xf>
    <xf numFmtId="49" fontId="3" fillId="0" borderId="2" xfId="0" applyNumberFormat="1" applyFont="1" applyBorder="1" applyAlignment="1">
      <alignment horizontal="left" wrapText="1"/>
    </xf>
    <xf numFmtId="0" fontId="4" fillId="0" borderId="1" xfId="2" applyFont="1" applyBorder="1" applyAlignment="1">
      <alignment horizontal="left" wrapText="1"/>
    </xf>
    <xf numFmtId="0" fontId="0" fillId="0" borderId="0" xfId="0" applyAlignment="1">
      <alignment wrapText="1"/>
    </xf>
    <xf numFmtId="0" fontId="0" fillId="0" borderId="0" xfId="0" pivotButton="1" applyAlignment="1">
      <alignment wrapText="1"/>
    </xf>
    <xf numFmtId="0" fontId="0" fillId="4" borderId="0" xfId="0" applyFill="1" applyAlignment="1">
      <alignment horizontal="left" wrapText="1"/>
    </xf>
    <xf numFmtId="44" fontId="0" fillId="4" borderId="0" xfId="0" applyNumberFormat="1" applyFill="1"/>
    <xf numFmtId="0" fontId="13" fillId="0" borderId="0" xfId="0" applyFont="1" applyAlignment="1">
      <alignment wrapText="1"/>
    </xf>
    <xf numFmtId="0" fontId="2" fillId="0" borderId="0" xfId="0" applyFont="1"/>
    <xf numFmtId="0" fontId="13" fillId="0" borderId="0" xfId="0" applyFont="1"/>
    <xf numFmtId="44" fontId="2" fillId="0" borderId="9" xfId="1" applyFont="1" applyBorder="1"/>
    <xf numFmtId="0" fontId="2" fillId="0" borderId="10" xfId="0" applyFont="1" applyBorder="1"/>
    <xf numFmtId="44" fontId="0" fillId="3" borderId="0" xfId="1" applyFont="1" applyFill="1"/>
    <xf numFmtId="14" fontId="0" fillId="0" borderId="0" xfId="0" applyNumberFormat="1"/>
    <xf numFmtId="0" fontId="0" fillId="0" borderId="5" xfId="0" applyBorder="1"/>
    <xf numFmtId="0" fontId="6" fillId="0" borderId="5" xfId="2" applyBorder="1" applyAlignment="1">
      <alignment horizontal="left" wrapText="1"/>
    </xf>
    <xf numFmtId="164" fontId="1" fillId="0" borderId="1" xfId="1" applyNumberFormat="1" applyFont="1" applyFill="1" applyBorder="1" applyAlignment="1">
      <alignment horizontal="left" wrapText="1"/>
    </xf>
    <xf numFmtId="44" fontId="0" fillId="0" borderId="0" xfId="1" applyFont="1" applyAlignment="1">
      <alignment wrapText="1"/>
    </xf>
    <xf numFmtId="44" fontId="7" fillId="5" borderId="1" xfId="1" applyFont="1" applyFill="1" applyBorder="1" applyAlignment="1">
      <alignment horizontal="left" wrapText="1"/>
    </xf>
    <xf numFmtId="164" fontId="0" fillId="5" borderId="1" xfId="1" applyNumberFormat="1" applyFont="1" applyFill="1" applyBorder="1" applyAlignment="1">
      <alignment horizontal="left" wrapText="1"/>
    </xf>
    <xf numFmtId="164" fontId="4" fillId="5" borderId="1" xfId="1" applyNumberFormat="1" applyFont="1" applyFill="1" applyBorder="1" applyAlignment="1">
      <alignment horizontal="left" wrapText="1"/>
    </xf>
    <xf numFmtId="164" fontId="0" fillId="5" borderId="2" xfId="1" applyNumberFormat="1" applyFont="1" applyFill="1" applyBorder="1" applyAlignment="1">
      <alignment horizontal="left" wrapText="1"/>
    </xf>
    <xf numFmtId="0" fontId="0" fillId="5" borderId="1" xfId="0" applyFill="1" applyBorder="1" applyAlignment="1">
      <alignment horizontal="left" wrapText="1"/>
    </xf>
    <xf numFmtId="0" fontId="14" fillId="0" borderId="0" xfId="0" applyFont="1" applyAlignment="1">
      <alignment wrapText="1"/>
    </xf>
    <xf numFmtId="0" fontId="14" fillId="0" borderId="0" xfId="0" applyFont="1"/>
    <xf numFmtId="44" fontId="0" fillId="0" borderId="0" xfId="1" applyFont="1" applyBorder="1"/>
    <xf numFmtId="44" fontId="0" fillId="0" borderId="0" xfId="1" applyFont="1" applyFill="1" applyBorder="1"/>
    <xf numFmtId="0" fontId="2" fillId="0" borderId="0" xfId="3" applyBorder="1"/>
    <xf numFmtId="44" fontId="2" fillId="0" borderId="0" xfId="3" applyNumberFormat="1" applyBorder="1"/>
    <xf numFmtId="0" fontId="0" fillId="3" borderId="1" xfId="0" applyFill="1" applyBorder="1" applyAlignment="1">
      <alignment horizontal="left" wrapText="1"/>
    </xf>
    <xf numFmtId="0" fontId="0" fillId="3" borderId="2" xfId="0" applyFill="1" applyBorder="1" applyAlignment="1">
      <alignment horizontal="left" wrapText="1"/>
    </xf>
    <xf numFmtId="0" fontId="0" fillId="4" borderId="0" xfId="0" applyFill="1" applyAlignment="1">
      <alignment horizontal="left"/>
    </xf>
    <xf numFmtId="0" fontId="0" fillId="0" borderId="7" xfId="0" applyBorder="1" applyAlignment="1">
      <alignment horizontal="left" wrapText="1"/>
    </xf>
    <xf numFmtId="0" fontId="4" fillId="0" borderId="7" xfId="0" applyFont="1" applyBorder="1" applyAlignment="1">
      <alignment horizontal="left" wrapText="1"/>
    </xf>
    <xf numFmtId="49" fontId="0" fillId="0" borderId="2" xfId="0" quotePrefix="1" applyNumberFormat="1" applyBorder="1" applyAlignment="1">
      <alignment horizontal="left" wrapText="1"/>
    </xf>
    <xf numFmtId="44" fontId="4" fillId="0" borderId="2" xfId="1" applyFont="1" applyBorder="1" applyAlignment="1">
      <alignment horizontal="left" wrapText="1"/>
    </xf>
    <xf numFmtId="0" fontId="4" fillId="0" borderId="3" xfId="0" applyFont="1" applyBorder="1" applyAlignment="1">
      <alignment horizontal="left" wrapText="1"/>
    </xf>
    <xf numFmtId="164" fontId="10" fillId="0" borderId="1" xfId="1" applyNumberFormat="1" applyFont="1" applyFill="1" applyBorder="1" applyAlignment="1">
      <alignment horizontal="left" wrapText="1"/>
    </xf>
    <xf numFmtId="164" fontId="0" fillId="0" borderId="0" xfId="1" applyNumberFormat="1" applyFont="1"/>
    <xf numFmtId="165" fontId="0" fillId="0" borderId="0" xfId="0" applyNumberFormat="1"/>
    <xf numFmtId="8" fontId="0" fillId="0" borderId="0" xfId="0" applyNumberFormat="1"/>
    <xf numFmtId="0" fontId="16" fillId="0" borderId="0" xfId="0" applyFont="1"/>
    <xf numFmtId="0" fontId="12" fillId="0" borderId="0" xfId="0" applyFont="1"/>
    <xf numFmtId="8" fontId="0" fillId="6" borderId="0" xfId="0" applyNumberFormat="1" applyFill="1"/>
    <xf numFmtId="10" fontId="0" fillId="0" borderId="0" xfId="0" applyNumberFormat="1"/>
    <xf numFmtId="164" fontId="15" fillId="0" borderId="0" xfId="0" applyNumberFormat="1" applyFont="1"/>
    <xf numFmtId="44" fontId="0" fillId="3" borderId="1" xfId="1" applyFont="1" applyFill="1" applyBorder="1" applyAlignment="1">
      <alignment horizontal="left" wrapText="1"/>
    </xf>
    <xf numFmtId="0" fontId="2" fillId="0" borderId="0" xfId="0" applyFont="1" applyAlignment="1">
      <alignment horizontal="center"/>
    </xf>
    <xf numFmtId="0" fontId="0" fillId="0" borderId="0" xfId="0" applyNumberFormat="1"/>
  </cellXfs>
  <cellStyles count="4">
    <cellStyle name="Currency" xfId="1" builtinId="4"/>
    <cellStyle name="Normal" xfId="0" builtinId="0"/>
    <cellStyle name="Normal 2" xfId="2" xr:uid="{AEB659F0-AE31-4E4E-87E9-56F7C347063D}"/>
    <cellStyle name="Total" xfId="3" builtinId="25"/>
  </cellStyles>
  <dxfs count="186">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34" formatCode="_(&quot;$&quot;* #,##0.00_);_(&quot;$&quot;* \(#,##0.00\);_(&quot;$&quot;* &quot;-&quot;??_);_(@_)"/>
    </dxf>
    <dxf>
      <fill>
        <patternFill patternType="solid">
          <bgColor rgb="FF92D050"/>
        </patternFill>
      </fill>
    </dxf>
    <dxf>
      <fill>
        <patternFill patternType="solid">
          <bgColor rgb="FF92D050"/>
        </patternFill>
      </fill>
    </dxf>
    <dxf>
      <fill>
        <patternFill patternType="solid">
          <bgColor rgb="FFFFFF00"/>
        </patternFill>
      </fill>
    </dxf>
    <dxf>
      <numFmt numFmtId="34" formatCode="_(&quot;$&quot;* #,##0.00_);_(&quot;$&quot;* \(#,##0.00\);_(&quot;$&quot;* &quot;-&quot;??_);_(@_)"/>
    </dxf>
    <dxf>
      <numFmt numFmtId="164" formatCode="&quot;$&quot;#,##0.00"/>
    </dxf>
    <dxf>
      <fill>
        <patternFill patternType="solid">
          <bgColor rgb="FFFFFF93"/>
        </patternFill>
      </fill>
    </dxf>
    <dxf>
      <fill>
        <patternFill patternType="solid">
          <bgColor rgb="FF92D050"/>
        </patternFill>
      </fill>
    </dxf>
    <dxf>
      <fill>
        <patternFill patternType="solid">
          <bgColor rgb="FF92D050"/>
        </patternFill>
      </fill>
    </dxf>
    <dxf>
      <numFmt numFmtId="34" formatCode="_(&quot;$&quot;* #,##0.00_);_(&quot;$&quot;* \(#,##0.00\);_(&quot;$&quot;* &quot;-&quot;??_);_(@_)"/>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fill>
        <patternFill patternType="solid">
          <bgColor rgb="FFFFFF00"/>
        </patternFill>
      </fill>
    </dxf>
    <dxf>
      <numFmt numFmtId="34" formatCode="_(&quot;$&quot;* #,##0.00_);_(&quot;$&quot;* \(#,##0.00\);_(&quot;$&quot;* &quot;-&quot;??_);_(@_)"/>
    </dxf>
    <dxf>
      <font>
        <b val="0"/>
        <i val="0"/>
        <strike val="0"/>
        <condense val="0"/>
        <extend val="0"/>
        <outline val="0"/>
        <shadow val="0"/>
        <u val="none"/>
        <vertAlign val="baseline"/>
        <sz val="11"/>
        <color theme="1"/>
        <name val="Aptos Narrow"/>
        <family val="2"/>
        <scheme val="minor"/>
      </font>
    </dxf>
    <dxf>
      <numFmt numFmtId="0" formatCode="General"/>
    </dxf>
    <dxf>
      <alignment horizontal="general" vertical="bottom" textRotation="0" wrapText="1" indent="0" justifyLastLine="0" shrinkToFit="0" readingOrder="0"/>
    </dxf>
    <dxf>
      <fill>
        <patternFill patternType="solid">
          <bgColor rgb="FFFFFF93"/>
        </patternFill>
      </fill>
    </dxf>
    <dxf>
      <numFmt numFmtId="164" formatCode="&quot;$&quot;#,##0.00"/>
    </dxf>
    <dxf>
      <numFmt numFmtId="34" formatCode="_(&quot;$&quot;* #,##0.00_);_(&quot;$&quot;* \(#,##0.00\);_(&quot;$&quot;* &quot;-&quot;??_);_(@_)"/>
    </dxf>
    <dxf>
      <alignment horizontal="left" vertical="bottom" textRotation="0" wrapText="1" indent="0" justifyLastLine="0" shrinkToFit="0" readingOrder="0"/>
    </dxf>
    <dxf>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0" formatCode="General"/>
      <alignment horizontal="left" vertical="bottom"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Aptos Narrow"/>
        <family val="2"/>
        <scheme val="minor"/>
      </font>
      <alignment horizontal="left" vertical="bottom" textRotation="0" wrapText="1" indent="0" justifyLastLine="0" shrinkToFit="0" readingOrder="0"/>
      <border diagonalUp="0" diagonalDown="0">
        <left style="thin">
          <color indexed="64"/>
        </left>
        <right/>
        <top style="thin">
          <color indexed="64"/>
        </top>
        <bottom/>
        <vertical/>
        <horizontal/>
      </border>
    </dxf>
    <dxf>
      <numFmt numFmtId="0" formatCode="General"/>
      <alignment horizontal="left" vertical="bottom"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numFmt numFmtId="0" formatCode="Genera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numFmt numFmtId="164" formatCode="&quot;$&quot;#,##0.00"/>
      <alignment horizontal="left"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ptos Narrow"/>
        <family val="2"/>
        <scheme val="minor"/>
      </font>
      <numFmt numFmtId="0" formatCode="Genera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numFmt numFmtId="164" formatCode="&quot;$&quot;#,##0.00"/>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numFmt numFmtId="0" formatCode="Genera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numFmt numFmtId="164" formatCode="&quot;$&quot;#,##0.00"/>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numFmt numFmtId="0" formatCode="Genera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numFmt numFmtId="164" formatCode="&quot;$&quot;#,##0.00"/>
      <alignment horizontal="left"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ptos Narrow"/>
        <family val="2"/>
        <scheme val="minor"/>
      </font>
      <numFmt numFmtId="0" formatCode="Genera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numFmt numFmtId="164" formatCode="&quot;$&quot;#,##0.00"/>
      <alignment horizontal="left" vertical="bottom" textRotation="0" wrapText="1" indent="0" justifyLastLine="0" shrinkToFit="0" readingOrder="0"/>
      <border diagonalUp="0" diagonalDown="0">
        <left style="thin">
          <color indexed="64"/>
        </left>
        <right style="thin">
          <color indexed="64"/>
        </right>
        <top style="thin">
          <color indexed="64"/>
        </top>
        <bottom/>
        <vertical/>
        <horizontal/>
      </border>
    </dxf>
    <dxf>
      <numFmt numFmtId="0" formatCode="General"/>
      <alignment horizontal="left" vertical="bottom" textRotation="0" wrapText="1" indent="0" justifyLastLine="0" shrinkToFit="0" readingOrder="0"/>
      <border diagonalUp="0" diagonalDown="0" outline="0">
        <left style="thin">
          <color indexed="64"/>
        </left>
        <right style="thin">
          <color indexed="64"/>
        </right>
        <top/>
        <bottom/>
      </border>
    </dxf>
    <dxf>
      <numFmt numFmtId="164" formatCode="&quot;$&quot;#,##0.00"/>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indexed="64"/>
          <bgColor theme="9" tint="0.3999755851924192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numFmt numFmtId="164" formatCode="&quot;$&quot;#,##0.00"/>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bottom/>
      </border>
    </dxf>
    <dxf>
      <numFmt numFmtId="164" formatCode="&quot;$&quot;#,##0.00"/>
      <fill>
        <patternFill patternType="none">
          <fgColor indexed="64"/>
          <bgColor auto="1"/>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bottom/>
      </border>
    </dxf>
    <dxf>
      <numFmt numFmtId="164" formatCode="&quot;$&quot;#,##0.00"/>
      <fill>
        <patternFill patternType="none">
          <fgColor indexed="64"/>
          <bgColor auto="1"/>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left" vertical="bottom"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bottom/>
      </border>
    </dxf>
    <dxf>
      <numFmt numFmtId="19" formatCode="m/d/yyyy"/>
      <fill>
        <patternFill patternType="none">
          <fgColor indexed="64"/>
          <bgColor auto="1"/>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left" vertical="bottom" textRotation="0" wrapText="1" indent="0" justifyLastLine="0" shrinkToFit="0" readingOrder="0"/>
      <border diagonalUp="0" diagonalDown="0" outline="0">
        <left style="thin">
          <color indexed="64"/>
        </left>
        <right style="thin">
          <color indexed="64"/>
        </right>
        <top/>
        <bottom/>
      </border>
    </dxf>
    <dxf>
      <numFmt numFmtId="19" formatCode="m/d/yyyy"/>
      <alignment horizontal="left" vertical="bottom" textRotation="0" wrapText="1" indent="0" justifyLastLine="0" shrinkToFit="0" readingOrder="0"/>
      <border diagonalUp="0" diagonalDown="0">
        <left style="thin">
          <color indexed="64"/>
        </left>
        <right style="thin">
          <color indexed="64"/>
        </right>
        <top style="thin">
          <color indexed="64"/>
        </top>
        <bottom/>
      </border>
    </dxf>
    <dxf>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bottom/>
      </border>
    </dxf>
    <dxf>
      <numFmt numFmtId="19" formatCode="m/d/yyyy"/>
      <fill>
        <patternFill patternType="none">
          <fgColor indexed="64"/>
          <bgColor auto="1"/>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bottom/>
      </border>
    </dxf>
    <dxf>
      <numFmt numFmtId="19" formatCode="m/d/yyyy"/>
      <fill>
        <patternFill patternType="none">
          <fgColor indexed="64"/>
          <bgColor auto="1"/>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1" indent="0" justifyLastLine="0" shrinkToFit="0" readingOrder="0"/>
      <border diagonalUp="0" diagonalDown="0" outline="0">
        <left style="thin">
          <color indexed="64"/>
        </left>
        <right style="thin">
          <color indexed="64"/>
        </right>
        <top/>
        <bottom/>
      </border>
    </dxf>
    <dxf>
      <numFmt numFmtId="164" formatCode="&quot;$&quot;#,##0.00"/>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Narrow"/>
        <family val="2"/>
        <scheme val="minor"/>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ptos Narrow"/>
        <family val="2"/>
        <scheme val="minor"/>
      </font>
      <numFmt numFmtId="164" formatCode="&quot;$&quot;#,##0.00"/>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Narrow"/>
        <family val="2"/>
        <scheme val="minor"/>
      </font>
      <alignment horizontal="left" vertical="bottom" textRotation="0" wrapText="1" indent="0" justifyLastLine="0" shrinkToFit="0" readingOrder="0"/>
      <border diagonalUp="0" diagonalDown="0" outline="0">
        <left style="thin">
          <color indexed="64"/>
        </left>
        <right style="thin">
          <color indexed="64"/>
        </right>
        <top/>
        <bottom/>
      </border>
    </dxf>
    <dxf>
      <font>
        <color auto="1"/>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1" indent="0" justifyLastLine="0" shrinkToFit="0" readingOrder="0"/>
      <border diagonalUp="0" diagonalDown="0" outline="0">
        <left style="thin">
          <color indexed="64"/>
        </left>
        <right style="thin">
          <color indexed="64"/>
        </right>
        <top/>
        <bottom/>
      </border>
    </dxf>
    <dxf>
      <numFmt numFmtId="0" formatCode="Genera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0" formatCode="General"/>
      <alignment horizontal="left" vertical="bottom"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left" vertical="bottom"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1" indent="0" justifyLastLine="0" shrinkToFit="0" readingOrder="0"/>
      <border diagonalUp="0" diagonalDown="0" outline="0">
        <left style="thin">
          <color indexed="64"/>
        </left>
        <right style="thin">
          <color indexed="64"/>
        </right>
        <top/>
        <bottom/>
      </border>
    </dxf>
    <dxf>
      <numFmt numFmtId="0" formatCode="Genera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1" indent="0" justifyLastLine="0" shrinkToFit="0" readingOrder="0"/>
      <border diagonalUp="0" diagonalDown="0" outline="0">
        <left/>
        <right style="thin">
          <color indexed="64"/>
        </right>
        <top/>
        <bottom/>
      </border>
    </dxf>
    <dxf>
      <alignment horizontal="left"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alignment horizontal="left" vertical="bottom" textRotation="0" wrapText="1" indent="0" justifyLastLine="0" shrinkToFit="0" readingOrder="0"/>
    </dxf>
    <dxf>
      <border>
        <bottom style="thin">
          <color indexed="64"/>
        </bottom>
      </border>
    </dxf>
    <dxf>
      <font>
        <b/>
        <i val="0"/>
        <strike val="0"/>
        <condense val="0"/>
        <extend val="0"/>
        <outline val="0"/>
        <shadow val="0"/>
        <u val="none"/>
        <vertAlign val="baseline"/>
        <sz val="16"/>
        <color theme="1"/>
        <name val="Aptos Narrow"/>
        <family val="2"/>
        <scheme val="minor"/>
      </font>
      <fill>
        <patternFill patternType="none">
          <fgColor indexed="64"/>
          <bgColor auto="1"/>
        </patternFill>
      </fill>
      <alignment horizontal="lef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bottom style="thin">
          <color theme="6" tint="0.39997558519241921"/>
        </bottom>
      </border>
    </dxf>
    <dxf>
      <border>
        <bottom style="thin">
          <color theme="6" tint="0.39997558519241921"/>
        </bottom>
      </border>
    </dxf>
    <dxf>
      <font>
        <color rgb="FF00B050"/>
      </font>
    </dxf>
    <dxf>
      <font>
        <b/>
        <color theme="1"/>
      </font>
      <fill>
        <patternFill patternType="solid">
          <bgColor theme="0" tint="-0.14996795556505021"/>
        </patternFill>
      </fill>
    </dxf>
    <dxf>
      <font>
        <b/>
        <color theme="1"/>
      </font>
      <fill>
        <patternFill patternType="solid">
          <bgColor theme="6" tint="0.79998168889431442"/>
        </patternFill>
      </fill>
      <border>
        <bottom style="thin">
          <color theme="6" tint="0.39997558519241921"/>
        </bottom>
      </border>
    </dxf>
    <dxf>
      <font>
        <b/>
        <color theme="1"/>
      </font>
    </dxf>
    <dxf>
      <font>
        <b/>
        <color theme="1"/>
      </font>
      <fill>
        <patternFill patternType="none">
          <bgColor auto="1"/>
        </patternFill>
      </fill>
      <border>
        <top style="thin">
          <color theme="6"/>
        </top>
        <bottom style="thin">
          <color theme="6"/>
        </bottom>
      </border>
    </dxf>
    <dxf>
      <fill>
        <patternFill patternType="solid">
          <fgColor theme="0" tint="-0.14999847407452621"/>
          <bgColor theme="0" tint="-0.14999847407452621"/>
        </patternFill>
      </fill>
    </dxf>
    <dxf>
      <fill>
        <patternFill patternType="none">
          <bgColor auto="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none">
          <fgColor indexed="64"/>
          <bgColor auto="1"/>
        </patternFill>
      </fill>
    </dxf>
    <dxf>
      <font>
        <b/>
        <color theme="1"/>
      </font>
      <fill>
        <patternFill patternType="solid">
          <fgColor theme="6" tint="0.79998168889431442"/>
          <bgColor theme="6" tint="0.79998168889431442"/>
        </patternFill>
      </fill>
      <border>
        <top style="thin">
          <color theme="6" tint="0.39997558519241921"/>
        </top>
      </border>
    </dxf>
    <dxf>
      <font>
        <b/>
        <color theme="1"/>
      </font>
      <fill>
        <patternFill patternType="solid">
          <fgColor theme="6" tint="0.79995117038483843"/>
          <bgColor theme="4" tint="0.59996337778862885"/>
        </patternFill>
      </fill>
      <border>
        <bottom style="thin">
          <color theme="6" tint="0.39997558519241921"/>
        </bottom>
      </border>
    </dxf>
    <dxf>
      <border>
        <bottom style="thin">
          <color theme="6" tint="0.39997558519241921"/>
        </bottom>
      </border>
    </dxf>
    <dxf>
      <border>
        <bottom style="thin">
          <color theme="6" tint="0.39997558519241921"/>
        </bottom>
      </border>
    </dxf>
    <dxf>
      <font>
        <color rgb="FF00B050"/>
      </font>
    </dxf>
    <dxf>
      <font>
        <b/>
        <color theme="1"/>
      </font>
      <fill>
        <patternFill patternType="solid">
          <bgColor theme="0" tint="-0.14996795556505021"/>
        </patternFill>
      </fill>
    </dxf>
    <dxf>
      <font>
        <b/>
        <color theme="1"/>
      </font>
      <fill>
        <patternFill patternType="solid">
          <bgColor theme="6" tint="0.79998168889431442"/>
        </patternFill>
      </fill>
      <border>
        <bottom style="thin">
          <color theme="6" tint="0.39997558519241921"/>
        </bottom>
      </border>
    </dxf>
    <dxf>
      <font>
        <b/>
        <color theme="1"/>
      </font>
    </dxf>
    <dxf>
      <font>
        <b/>
        <color theme="1"/>
      </font>
      <fill>
        <patternFill patternType="none">
          <bgColor auto="1"/>
        </patternFill>
      </fill>
      <border>
        <top style="thin">
          <color theme="6"/>
        </top>
        <bottom style="thin">
          <color theme="6"/>
        </bottom>
      </border>
    </dxf>
    <dxf>
      <fill>
        <patternFill patternType="solid">
          <fgColor theme="0" tint="-0.14999847407452621"/>
          <bgColor theme="0" tint="-0.14999847407452621"/>
        </patternFill>
      </fill>
    </dxf>
    <dxf>
      <fill>
        <patternFill patternType="none">
          <bgColor auto="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none">
          <fgColor indexed="64"/>
          <bgColor auto="1"/>
        </patternFill>
      </fill>
    </dxf>
    <dxf>
      <font>
        <b/>
        <color theme="1"/>
      </font>
      <fill>
        <patternFill patternType="solid">
          <fgColor theme="6" tint="0.79998168889431442"/>
          <bgColor theme="6" tint="0.79998168889431442"/>
        </patternFill>
      </fill>
      <border>
        <top style="thin">
          <color theme="6" tint="0.39997558519241921"/>
        </top>
      </border>
    </dxf>
    <dxf>
      <font>
        <b/>
        <color theme="1"/>
      </font>
      <fill>
        <patternFill patternType="solid">
          <fgColor theme="6" tint="0.79995117038483843"/>
          <bgColor theme="4" tint="0.59996337778862885"/>
        </patternFill>
      </fill>
      <border>
        <bottom style="thin">
          <color theme="6" tint="0.39997558519241921"/>
        </bottom>
      </border>
    </dxf>
  </dxfs>
  <tableStyles count="2" defaultTableStyle="TableStyleMedium2" defaultPivotStyle="PivotStyleLight16">
    <tableStyle name="Current Active Projects" table="0" count="13" xr9:uid="{E490CD00-222D-4440-B1B8-6D2A60DB59CC}">
      <tableStyleElement type="headerRow" dxfId="185"/>
      <tableStyleElement type="totalRow" dxfId="184"/>
      <tableStyleElement type="firstRowStripe" dxfId="183"/>
      <tableStyleElement type="firstColumnStripe" dxfId="182"/>
      <tableStyleElement type="firstHeaderCell" dxfId="181"/>
      <tableStyleElement type="firstSubtotalColumn" dxfId="180"/>
      <tableStyleElement type="firstSubtotalRow" dxfId="179"/>
      <tableStyleElement type="secondSubtotalRow" dxfId="178"/>
      <tableStyleElement type="firstRowSubheading" dxfId="177"/>
      <tableStyleElement type="secondRowSubheading" dxfId="176"/>
      <tableStyleElement type="thirdRowSubheading" dxfId="175"/>
      <tableStyleElement type="pageFieldLabels" dxfId="174"/>
      <tableStyleElement type="pageFieldValues" dxfId="173"/>
    </tableStyle>
    <tableStyle name="FY CIP Projects" table="0" count="13" xr9:uid="{2763FDDC-4BD6-414C-8964-87F5947ACAAF}">
      <tableStyleElement type="headerRow" dxfId="172"/>
      <tableStyleElement type="totalRow" dxfId="171"/>
      <tableStyleElement type="firstRowStripe" dxfId="170"/>
      <tableStyleElement type="firstColumnStripe" dxfId="169"/>
      <tableStyleElement type="firstHeaderCell" dxfId="168"/>
      <tableStyleElement type="firstSubtotalColumn" dxfId="167"/>
      <tableStyleElement type="firstSubtotalRow" dxfId="166"/>
      <tableStyleElement type="secondSubtotalRow" dxfId="165"/>
      <tableStyleElement type="firstRowSubheading" dxfId="164"/>
      <tableStyleElement type="secondRowSubheading" dxfId="163"/>
      <tableStyleElement type="thirdRowSubheading" dxfId="162"/>
      <tableStyleElement type="pageFieldLabels" dxfId="161"/>
      <tableStyleElement type="pageFieldValues" dxfId="160"/>
    </tableStyle>
  </tableStyles>
  <colors>
    <mruColors>
      <color rgb="FFFF9900"/>
      <color rgb="FFBBE0EE"/>
      <color rgb="FFFF3300"/>
      <color rgb="FFFEB0B6"/>
      <color rgb="FFFF214B"/>
      <color rgb="FFA50021"/>
      <color rgb="FFFF764B"/>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0" Type="http://schemas.openxmlformats.org/officeDocument/2006/relationships/sharedStrings" Target="sharedStrings.xml"/><Relationship Id="rId29" Type="http://schemas.openxmlformats.org/officeDocument/2006/relationships/customXml" Target="../customXml/item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[Sample Project List.xlsx]Current Construction Projects!PivotTable5</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by</a:t>
            </a:r>
            <a:r>
              <a:rPr lang="en-US" baseline="0"/>
              <a:t> Count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25400">
            <a:solidFill>
              <a:schemeClr val="lt1"/>
            </a:solidFill>
          </a:ln>
          <a:effectLst/>
          <a:sp3d contourW="25400">
            <a:contourClr>
              <a:schemeClr val="lt1"/>
            </a:contourClr>
          </a:sp3d>
        </c:spPr>
      </c:pivotFmt>
      <c:pivotFmt>
        <c:idx val="2"/>
        <c:spPr>
          <a:solidFill>
            <a:schemeClr val="accent1"/>
          </a:solidFill>
          <a:ln w="25400">
            <a:solidFill>
              <a:schemeClr val="lt1"/>
            </a:solidFill>
          </a:ln>
          <a:effectLst/>
          <a:sp3d contourW="25400">
            <a:contourClr>
              <a:schemeClr val="lt1"/>
            </a:contourClr>
          </a:sp3d>
        </c:spPr>
      </c:pivotFmt>
      <c:pivotFmt>
        <c:idx val="3"/>
        <c:spPr>
          <a:solidFill>
            <a:schemeClr val="accent1"/>
          </a:solidFill>
          <a:ln w="25400">
            <a:solidFill>
              <a:schemeClr val="lt1"/>
            </a:solidFill>
          </a:ln>
          <a:effectLst/>
          <a:sp3d contourW="25400">
            <a:contourClr>
              <a:schemeClr val="lt1"/>
            </a:contourClr>
          </a:sp3d>
        </c:spPr>
      </c:pivotFmt>
      <c:pivotFmt>
        <c:idx val="4"/>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'Current Construction Projects'!$F$3</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2-C8BE-44C2-8622-24F6DD95B120}"/>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C8BE-44C2-8622-24F6DD95B120}"/>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4-C8BE-44C2-8622-24F6DD95B120}"/>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5-C8BE-44C2-8622-24F6DD95B12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0"/>
            <c:extLst>
              <c:ext xmlns:c15="http://schemas.microsoft.com/office/drawing/2012/chart" uri="{CE6537A1-D6FC-4f65-9D91-7224C49458BB}"/>
            </c:extLst>
          </c:dLbls>
          <c:cat>
            <c:strRef>
              <c:f>'Current Construction Projects'!$E$4:$E$8</c:f>
              <c:strCache>
                <c:ptCount val="4"/>
                <c:pt idx="0">
                  <c:v>Sanitary Sewer System</c:v>
                </c:pt>
                <c:pt idx="1">
                  <c:v>Stormwater</c:v>
                </c:pt>
                <c:pt idx="2">
                  <c:v>Street Improvements</c:v>
                </c:pt>
                <c:pt idx="3">
                  <c:v>Water Distribution</c:v>
                </c:pt>
              </c:strCache>
            </c:strRef>
          </c:cat>
          <c:val>
            <c:numRef>
              <c:f>'Current Construction Projects'!$F$4:$F$8</c:f>
              <c:numCache>
                <c:formatCode>General</c:formatCode>
                <c:ptCount val="4"/>
                <c:pt idx="0">
                  <c:v>3</c:v>
                </c:pt>
                <c:pt idx="1">
                  <c:v>4</c:v>
                </c:pt>
                <c:pt idx="2">
                  <c:v>13</c:v>
                </c:pt>
                <c:pt idx="3">
                  <c:v>6</c:v>
                </c:pt>
              </c:numCache>
            </c:numRef>
          </c:val>
          <c:extLst>
            <c:ext xmlns:c16="http://schemas.microsoft.com/office/drawing/2014/chart" uri="{C3380CC4-5D6E-409C-BE32-E72D297353CC}">
              <c16:uniqueId val="{00000000-C8BE-44C2-8622-24F6DD95B120}"/>
            </c:ext>
          </c:extLst>
        </c:ser>
        <c:dLbls>
          <c:dLblPos val="inEnd"/>
          <c:showLegendKey val="0"/>
          <c:showVal val="0"/>
          <c:showCatName val="1"/>
          <c:showSerName val="0"/>
          <c:showPercent val="0"/>
          <c:showBubbleSize val="0"/>
          <c:showLeaderLines val="0"/>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[Sample Project List.xlsx]Current Construction Projects!PivotTable7</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by Cost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25400">
            <a:solidFill>
              <a:schemeClr val="lt1"/>
            </a:solidFill>
          </a:ln>
          <a:effectLst/>
          <a:sp3d contourW="25400">
            <a:contourClr>
              <a:schemeClr val="lt1"/>
            </a:contourClr>
          </a:sp3d>
        </c:spPr>
      </c:pivotFmt>
      <c:pivotFmt>
        <c:idx val="2"/>
        <c:spPr>
          <a:solidFill>
            <a:schemeClr val="accent1"/>
          </a:solidFill>
          <a:ln w="25400">
            <a:solidFill>
              <a:schemeClr val="lt1"/>
            </a:solidFill>
          </a:ln>
          <a:effectLst/>
          <a:sp3d contourW="25400">
            <a:contourClr>
              <a:schemeClr val="lt1"/>
            </a:contourClr>
          </a:sp3d>
        </c:spPr>
      </c:pivotFmt>
      <c:pivotFmt>
        <c:idx val="3"/>
        <c:spPr>
          <a:solidFill>
            <a:schemeClr val="accent1"/>
          </a:solidFill>
          <a:ln w="25400">
            <a:solidFill>
              <a:schemeClr val="lt1"/>
            </a:solidFill>
          </a:ln>
          <a:effectLst/>
          <a:sp3d contourW="25400">
            <a:contourClr>
              <a:schemeClr val="lt1"/>
            </a:contourClr>
          </a:sp3d>
        </c:spPr>
      </c:pivotFmt>
      <c:pivotFmt>
        <c:idx val="4"/>
        <c:spPr>
          <a:solidFill>
            <a:schemeClr val="accent1"/>
          </a:solidFill>
          <a:ln w="25400">
            <a:solidFill>
              <a:schemeClr val="lt1"/>
            </a:solidFill>
          </a:ln>
          <a:effectLst/>
          <a:sp3d contourW="25400">
            <a:contourClr>
              <a:schemeClr val="lt1"/>
            </a:contourClr>
          </a:sp3d>
        </c:spPr>
      </c:pivotFmt>
      <c:pivotFmt>
        <c:idx val="5"/>
        <c:spPr>
          <a:solidFill>
            <a:schemeClr val="accent1"/>
          </a:solidFill>
          <a:ln w="25400">
            <a:solidFill>
              <a:schemeClr val="lt1"/>
            </a:solidFill>
          </a:ln>
          <a:effectLst/>
          <a:sp3d contourW="25400">
            <a:contourClr>
              <a:schemeClr val="lt1"/>
            </a:contourClr>
          </a:sp3d>
        </c:spPr>
      </c:pivotFmt>
      <c:pivotFmt>
        <c:idx val="6"/>
        <c:spPr>
          <a:solidFill>
            <a:schemeClr val="accent1"/>
          </a:solidFill>
          <a:ln w="25400">
            <a:solidFill>
              <a:schemeClr val="lt1"/>
            </a:solidFill>
          </a:ln>
          <a:effectLst/>
          <a:sp3d contourW="25400">
            <a:contourClr>
              <a:schemeClr val="lt1"/>
            </a:contourClr>
          </a:sp3d>
        </c:spPr>
      </c:pivotFmt>
      <c:pivotFmt>
        <c:idx val="7"/>
        <c:spPr>
          <a:solidFill>
            <a:schemeClr val="accent1"/>
          </a:solidFill>
          <a:ln w="25400">
            <a:solidFill>
              <a:schemeClr val="lt1"/>
            </a:solidFill>
          </a:ln>
          <a:effectLst/>
          <a:sp3d contourW="25400">
            <a:contourClr>
              <a:schemeClr val="lt1"/>
            </a:contourClr>
          </a:sp3d>
        </c:spPr>
      </c:pivotFmt>
      <c:pivotFmt>
        <c:idx val="8"/>
        <c:spPr>
          <a:solidFill>
            <a:schemeClr val="accent1"/>
          </a:solidFill>
          <a:ln w="25400">
            <a:solidFill>
              <a:schemeClr val="lt1"/>
            </a:solidFill>
          </a:ln>
          <a:effectLst/>
          <a:sp3d contourW="25400">
            <a:contourClr>
              <a:schemeClr val="lt1"/>
            </a:contourClr>
          </a:sp3d>
        </c:spPr>
      </c:pivotFmt>
      <c:pivotFmt>
        <c:idx val="9"/>
        <c:spPr>
          <a:solidFill>
            <a:schemeClr val="accent1"/>
          </a:solidFill>
          <a:ln w="25400">
            <a:solidFill>
              <a:schemeClr val="lt1"/>
            </a:solidFill>
          </a:ln>
          <a:effectLst/>
          <a:sp3d contourW="25400">
            <a:contourClr>
              <a:schemeClr val="lt1"/>
            </a:contourClr>
          </a:sp3d>
        </c:spPr>
      </c:pivotFmt>
      <c:pivotFmt>
        <c:idx val="10"/>
        <c:spPr>
          <a:solidFill>
            <a:schemeClr val="accent1"/>
          </a:solidFill>
          <a:ln w="25400">
            <a:solidFill>
              <a:schemeClr val="lt1"/>
            </a:solidFill>
          </a:ln>
          <a:effectLst/>
          <a:sp3d contourW="25400">
            <a:contourClr>
              <a:schemeClr val="lt1"/>
            </a:contourClr>
          </a:sp3d>
        </c:spPr>
      </c:pivotFmt>
      <c:pivotFmt>
        <c:idx val="11"/>
        <c:spPr>
          <a:solidFill>
            <a:schemeClr val="accent1"/>
          </a:solidFill>
          <a:ln w="25400">
            <a:solidFill>
              <a:schemeClr val="lt1"/>
            </a:solidFill>
          </a:ln>
          <a:effectLst/>
          <a:sp3d contourW="25400">
            <a:contourClr>
              <a:schemeClr val="lt1"/>
            </a:contourClr>
          </a:sp3d>
        </c:spPr>
      </c:pivotFmt>
      <c:pivotFmt>
        <c:idx val="12"/>
        <c:spPr>
          <a:solidFill>
            <a:schemeClr val="accent1"/>
          </a:solidFill>
          <a:ln w="25400">
            <a:solidFill>
              <a:schemeClr val="lt1"/>
            </a:solidFill>
          </a:ln>
          <a:effectLst/>
          <a:sp3d contourW="25400">
            <a:contourClr>
              <a:schemeClr val="lt1"/>
            </a:contourClr>
          </a:sp3d>
        </c:spPr>
      </c:pivotFmt>
      <c:pivotFmt>
        <c:idx val="13"/>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'Current Construction Projects'!$E$27</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2-D477-4319-9951-5405A0B3AB7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D477-4319-9951-5405A0B3AB7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4-D477-4319-9951-5405A0B3AB75}"/>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5-D477-4319-9951-5405A0B3AB75}"/>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6-D477-4319-9951-5405A0B3AB75}"/>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7-D477-4319-9951-5405A0B3AB75}"/>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8-D477-4319-9951-5405A0B3AB75}"/>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D477-4319-9951-5405A0B3AB75}"/>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A-D477-4319-9951-5405A0B3AB75}"/>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D477-4319-9951-5405A0B3AB75}"/>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E0A5-4350-AC8A-5889E93EA0F8}"/>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EDDF-4D50-A76E-CCB6C01FA72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'Current Construction Projects'!$E$28</c:f>
              <c:strCache>
                <c:ptCount val="1"/>
                <c:pt idx="0">
                  <c:v>Total</c:v>
                </c:pt>
              </c:strCache>
            </c:strRef>
          </c:cat>
          <c:val>
            <c:numRef>
              <c:f>'Current Construction Projects'!$E$28</c:f>
              <c:numCache>
                <c:formatCode>_("$"* #,##0.00_);_("$"* \(#,##0.00\);_("$"* "-"??_);_(@_)</c:formatCode>
                <c:ptCount val="1"/>
                <c:pt idx="0">
                  <c:v>9539528</c:v>
                </c:pt>
              </c:numCache>
            </c:numRef>
          </c:val>
          <c:extLst>
            <c:ext xmlns:c16="http://schemas.microsoft.com/office/drawing/2014/chart" uri="{C3380CC4-5D6E-409C-BE32-E72D297353CC}">
              <c16:uniqueId val="{00000000-D477-4319-9951-5405A0B3AB75}"/>
            </c:ext>
          </c:extLst>
        </c:ser>
        <c:dLbls>
          <c:dLblPos val="ctr"/>
          <c:showLegendKey val="0"/>
          <c:showVal val="0"/>
          <c:showCatName val="1"/>
          <c:showSerName val="0"/>
          <c:showPercent val="0"/>
          <c:showBubbleSize val="0"/>
          <c:showLeaderLines val="0"/>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[Sample Project List.xlsx]Current Close-Out Projects!PivotTable5</c:name>
    <c:fmtId val="6"/>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by</a:t>
            </a:r>
            <a:r>
              <a:rPr lang="en-US" baseline="0"/>
              <a:t> Count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circle"/>
          <c:size val="5"/>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15:xForSave val="1"/>
            </c:ext>
          </c:extLst>
        </c:dLbl>
      </c:pivotFmt>
      <c:pivotFmt>
        <c:idx val="2"/>
        <c:spPr>
          <a:solidFill>
            <a:schemeClr val="accent2"/>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15:xForSave val="1"/>
            </c:ext>
          </c:extLst>
        </c:dLbl>
      </c:pivotFmt>
      <c:pivotFmt>
        <c:idx val="3"/>
        <c:spPr>
          <a:solidFill>
            <a:schemeClr val="accent3"/>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15:xForSave val="1"/>
            </c:ext>
          </c:extLst>
        </c:dLbl>
      </c:pivotFmt>
      <c:pivotFmt>
        <c:idx val="4"/>
        <c:spPr>
          <a:solidFill>
            <a:schemeClr val="accent4"/>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15:xForSave val="1"/>
            </c:ext>
          </c:extLst>
        </c:dLbl>
      </c:pivotFmt>
      <c:pivotFmt>
        <c:idx val="5"/>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6"/>
        <c:spPr>
          <a:solidFill>
            <a:schemeClr val="accent1"/>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extLst>
        </c:dLbl>
      </c:pivotFmt>
      <c:pivotFmt>
        <c:idx val="7"/>
        <c:spPr>
          <a:solidFill>
            <a:schemeClr val="accent1"/>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extLst>
        </c:dLbl>
      </c:pivotFmt>
      <c:pivotFmt>
        <c:idx val="8"/>
        <c:spPr>
          <a:solidFill>
            <a:schemeClr val="accent1"/>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extLst>
        </c:dLbl>
      </c:pivotFmt>
      <c:pivotFmt>
        <c:idx val="9"/>
        <c:spPr>
          <a:solidFill>
            <a:schemeClr val="accent1"/>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extLst>
        </c:dLbl>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'Current Close-Out Projects'!$M$3</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9A32-4CE5-AEDA-C2A5B47701AB}"/>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9A32-4CE5-AEDA-C2A5B47701AB}"/>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9A32-4CE5-AEDA-C2A5B47701AB}"/>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9A32-4CE5-AEDA-C2A5B47701AB}"/>
              </c:ext>
            </c:extLst>
          </c:dPt>
          <c:dLbls>
            <c:dLbl>
              <c:idx val="0"/>
              <c:dLblPos val="in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A32-4CE5-AEDA-C2A5B47701AB}"/>
                </c:ext>
              </c:extLst>
            </c:dLbl>
            <c:dLbl>
              <c:idx val="1"/>
              <c:dLblPos val="in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A32-4CE5-AEDA-C2A5B47701AB}"/>
                </c:ext>
              </c:extLst>
            </c:dLbl>
            <c:dLbl>
              <c:idx val="2"/>
              <c:dLblPos val="in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A32-4CE5-AEDA-C2A5B47701AB}"/>
                </c:ext>
              </c:extLst>
            </c:dLbl>
            <c:dLbl>
              <c:idx val="3"/>
              <c:dLblPos val="in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A32-4CE5-AEDA-C2A5B47701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0"/>
            <c:extLst>
              <c:ext xmlns:c15="http://schemas.microsoft.com/office/drawing/2012/chart" uri="{CE6537A1-D6FC-4f65-9D91-7224C49458BB}"/>
            </c:extLst>
          </c:dLbls>
          <c:cat>
            <c:strRef>
              <c:f>'Current Close-Out Projects'!$L$4:$L$8</c:f>
              <c:strCache>
                <c:ptCount val="4"/>
                <c:pt idx="0">
                  <c:v>Sanitary Sewer System</c:v>
                </c:pt>
                <c:pt idx="1">
                  <c:v>Stormwater</c:v>
                </c:pt>
                <c:pt idx="2">
                  <c:v>Street Improvements</c:v>
                </c:pt>
                <c:pt idx="3">
                  <c:v>Water Distribution</c:v>
                </c:pt>
              </c:strCache>
            </c:strRef>
          </c:cat>
          <c:val>
            <c:numRef>
              <c:f>'Current Close-Out Projects'!$M$4:$M$8</c:f>
              <c:numCache>
                <c:formatCode>General</c:formatCode>
                <c:ptCount val="4"/>
                <c:pt idx="0">
                  <c:v>3</c:v>
                </c:pt>
                <c:pt idx="1">
                  <c:v>4</c:v>
                </c:pt>
                <c:pt idx="2">
                  <c:v>13</c:v>
                </c:pt>
                <c:pt idx="3">
                  <c:v>6</c:v>
                </c:pt>
              </c:numCache>
            </c:numRef>
          </c:val>
          <c:extLst>
            <c:ext xmlns:c16="http://schemas.microsoft.com/office/drawing/2014/chart" uri="{C3380CC4-5D6E-409C-BE32-E72D297353CC}">
              <c16:uniqueId val="{00000008-9A32-4CE5-AEDA-C2A5B47701AB}"/>
            </c:ext>
          </c:extLst>
        </c:ser>
        <c:dLbls>
          <c:dLblPos val="inEnd"/>
          <c:showLegendKey val="0"/>
          <c:showVal val="0"/>
          <c:showCatName val="1"/>
          <c:showSerName val="0"/>
          <c:showPercent val="0"/>
          <c:showBubbleSize val="0"/>
          <c:showLeaderLines val="0"/>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[Sample Project List.xlsx]Current Close-Out Projects!PivotTable7</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by Cost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circle"/>
          <c:size val="5"/>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2"/>
        <c:spPr>
          <a:solidFill>
            <a:schemeClr val="accent2"/>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3"/>
        <c:spPr>
          <a:solidFill>
            <a:schemeClr val="accent3"/>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4"/>
        <c:spPr>
          <a:solidFill>
            <a:schemeClr val="accent4"/>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5"/>
        <c:spPr>
          <a:solidFill>
            <a:schemeClr val="accent5"/>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6"/>
        <c:spPr>
          <a:solidFill>
            <a:schemeClr val="accent6"/>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7"/>
        <c:spPr>
          <a:solidFill>
            <a:schemeClr val="accent1">
              <a:lumMod val="60000"/>
            </a:schemeClr>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8"/>
        <c:spPr>
          <a:solidFill>
            <a:schemeClr val="accent2">
              <a:lumMod val="60000"/>
            </a:schemeClr>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9"/>
        <c:spPr>
          <a:solidFill>
            <a:schemeClr val="accent3">
              <a:lumMod val="60000"/>
            </a:schemeClr>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10"/>
        <c:spPr>
          <a:solidFill>
            <a:schemeClr val="accent4">
              <a:lumMod val="60000"/>
            </a:schemeClr>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11"/>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2"/>
        <c:spPr>
          <a:solidFill>
            <a:schemeClr val="accent1"/>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0"/>
          <c:showBubbleSize val="0"/>
          <c:extLst>
            <c:ext xmlns:c15="http://schemas.microsoft.com/office/drawing/2012/chart" uri="{CE6537A1-D6FC-4f65-9D91-7224C49458BB}"/>
          </c:extLst>
        </c:dLbl>
      </c:pivotFmt>
      <c:pivotFmt>
        <c:idx val="13"/>
        <c:spPr>
          <a:solidFill>
            <a:schemeClr val="accent1"/>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0"/>
          <c:showBubbleSize val="0"/>
          <c:extLst>
            <c:ext xmlns:c15="http://schemas.microsoft.com/office/drawing/2012/chart" uri="{CE6537A1-D6FC-4f65-9D91-7224C49458BB}"/>
          </c:extLst>
        </c:dLbl>
      </c:pivotFmt>
      <c:pivotFmt>
        <c:idx val="14"/>
        <c:spPr>
          <a:solidFill>
            <a:schemeClr val="accent1"/>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0"/>
          <c:showBubbleSize val="0"/>
          <c:extLst>
            <c:ext xmlns:c15="http://schemas.microsoft.com/office/drawing/2012/chart" uri="{CE6537A1-D6FC-4f65-9D91-7224C49458BB}"/>
          </c:extLst>
        </c:dLbl>
      </c:pivotFmt>
      <c:pivotFmt>
        <c:idx val="15"/>
        <c:spPr>
          <a:solidFill>
            <a:schemeClr val="accent1"/>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0"/>
          <c:showBubbleSize val="0"/>
          <c:extLst>
            <c:ext xmlns:c15="http://schemas.microsoft.com/office/drawing/2012/chart" uri="{CE6537A1-D6FC-4f65-9D91-7224C49458BB}"/>
          </c:extLst>
        </c:dLbl>
      </c:pivotFmt>
      <c:pivotFmt>
        <c:idx val="16"/>
        <c:spPr>
          <a:solidFill>
            <a:schemeClr val="accent1"/>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0"/>
          <c:showBubbleSize val="0"/>
          <c:extLst>
            <c:ext xmlns:c15="http://schemas.microsoft.com/office/drawing/2012/chart" uri="{CE6537A1-D6FC-4f65-9D91-7224C49458BB}"/>
          </c:extLst>
        </c:dLbl>
      </c:pivotFmt>
      <c:pivotFmt>
        <c:idx val="17"/>
        <c:spPr>
          <a:solidFill>
            <a:schemeClr val="accent1"/>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0"/>
          <c:showBubbleSize val="0"/>
          <c:extLst>
            <c:ext xmlns:c15="http://schemas.microsoft.com/office/drawing/2012/chart" uri="{CE6537A1-D6FC-4f65-9D91-7224C49458BB}"/>
          </c:extLst>
        </c:dLbl>
      </c:pivotFmt>
      <c:pivotFmt>
        <c:idx val="18"/>
        <c:spPr>
          <a:solidFill>
            <a:schemeClr val="accent1"/>
          </a:solidFill>
          <a:ln w="25400">
            <a:solidFill>
              <a:schemeClr val="lt1"/>
            </a:solidFill>
          </a:ln>
          <a:effectLst/>
          <a:sp3d contourW="25400">
            <a:contourClr>
              <a:schemeClr val="lt1"/>
            </a:contourClr>
          </a:sp3d>
        </c:spPr>
      </c:pivotFmt>
      <c:pivotFmt>
        <c:idx val="19"/>
        <c:spPr>
          <a:solidFill>
            <a:schemeClr val="accent1"/>
          </a:solidFill>
          <a:ln w="25400">
            <a:solidFill>
              <a:schemeClr val="lt1"/>
            </a:solidFill>
          </a:ln>
          <a:effectLst/>
          <a:sp3d contourW="25400">
            <a:contourClr>
              <a:schemeClr val="lt1"/>
            </a:contourClr>
          </a:sp3d>
        </c:spPr>
      </c:pivotFmt>
      <c:pivotFmt>
        <c:idx val="20"/>
        <c:spPr>
          <a:solidFill>
            <a:schemeClr val="accent1"/>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0"/>
          <c:showBubbleSize val="0"/>
          <c:extLst>
            <c:ext xmlns:c15="http://schemas.microsoft.com/office/drawing/2012/chart" uri="{CE6537A1-D6FC-4f65-9D91-7224C49458BB}"/>
          </c:extLst>
        </c:dLbl>
      </c:pivotFmt>
      <c:pivotFmt>
        <c:idx val="21"/>
        <c:spPr>
          <a:solidFill>
            <a:schemeClr val="accent1"/>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0"/>
          <c:showBubbleSize val="0"/>
          <c:extLst>
            <c:ext xmlns:c15="http://schemas.microsoft.com/office/drawing/2012/chart" uri="{CE6537A1-D6FC-4f65-9D91-7224C49458BB}"/>
          </c:extLst>
        </c:dLbl>
      </c:pivotFmt>
      <c:pivotFmt>
        <c:idx val="22"/>
        <c:spPr>
          <a:solidFill>
            <a:schemeClr val="accent1"/>
          </a:solidFill>
          <a:ln w="25400">
            <a:solidFill>
              <a:schemeClr val="lt1"/>
            </a:solidFill>
          </a:ln>
          <a:effectLst/>
          <a:sp3d contourW="25400">
            <a:contourClr>
              <a:schemeClr val="lt1"/>
            </a:contourClr>
          </a:sp3d>
        </c:spPr>
      </c:pivotFmt>
      <c:pivotFmt>
        <c:idx val="23"/>
        <c:spPr>
          <a:solidFill>
            <a:schemeClr val="accent1"/>
          </a:solidFill>
          <a:ln w="25400">
            <a:solidFill>
              <a:schemeClr val="lt1"/>
            </a:solidFill>
          </a:ln>
          <a:effectLst/>
          <a:sp3d contourW="25400">
            <a:contourClr>
              <a:schemeClr val="lt1"/>
            </a:contourClr>
          </a:sp3d>
        </c:spPr>
      </c:pivotFmt>
      <c:pivotFmt>
        <c:idx val="24"/>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'Current Close-Out Projects'!$L$27</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D0D4-4A3B-B58C-C55800B533B8}"/>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D0D4-4A3B-B58C-C55800B533B8}"/>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D0D4-4A3B-B58C-C55800B533B8}"/>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D0D4-4A3B-B58C-C55800B533B8}"/>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D0D4-4A3B-B58C-C55800B533B8}"/>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D0D4-4A3B-B58C-C55800B533B8}"/>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D0D4-4A3B-B58C-C55800B533B8}"/>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D0D4-4A3B-B58C-C55800B533B8}"/>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D0D4-4A3B-B58C-C55800B533B8}"/>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D0D4-4A3B-B58C-C55800B533B8}"/>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BBAA-4C05-B916-3BC6A7A54A82}"/>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C7DC-4A21-94C1-947FFA5B88A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'Current Close-Out Projects'!$L$28</c:f>
              <c:strCache>
                <c:ptCount val="1"/>
                <c:pt idx="0">
                  <c:v>Total</c:v>
                </c:pt>
              </c:strCache>
            </c:strRef>
          </c:cat>
          <c:val>
            <c:numRef>
              <c:f>'Current Close-Out Projects'!$L$28</c:f>
              <c:numCache>
                <c:formatCode>_("$"* #,##0.00_);_("$"* \(#,##0.00\);_("$"* "-"??_);_(@_)</c:formatCode>
                <c:ptCount val="1"/>
                <c:pt idx="0">
                  <c:v>9539528</c:v>
                </c:pt>
              </c:numCache>
            </c:numRef>
          </c:val>
          <c:extLst>
            <c:ext xmlns:c16="http://schemas.microsoft.com/office/drawing/2014/chart" uri="{C3380CC4-5D6E-409C-BE32-E72D297353CC}">
              <c16:uniqueId val="{00000014-D0D4-4A3B-B58C-C55800B533B8}"/>
            </c:ext>
          </c:extLst>
        </c:ser>
        <c:dLbls>
          <c:dLblPos val="ctr"/>
          <c:showLegendKey val="0"/>
          <c:showVal val="0"/>
          <c:showCatName val="1"/>
          <c:showSerName val="0"/>
          <c:showPercent val="0"/>
          <c:showBubbleSize val="0"/>
          <c:showLeaderLines val="0"/>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[Sample Project List.xlsx]Current Design Projects!PivotTable5</c:name>
    <c:fmtId val="6"/>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by</a:t>
            </a:r>
            <a:r>
              <a:rPr lang="en-US" baseline="0"/>
              <a:t> Count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circle"/>
          <c:size val="5"/>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15:xForSave val="1"/>
            </c:ext>
          </c:extLst>
        </c:dLbl>
      </c:pivotFmt>
      <c:pivotFmt>
        <c:idx val="2"/>
        <c:spPr>
          <a:solidFill>
            <a:schemeClr val="accent2"/>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15:xForSave val="1"/>
            </c:ext>
          </c:extLst>
        </c:dLbl>
      </c:pivotFmt>
      <c:pivotFmt>
        <c:idx val="3"/>
        <c:spPr>
          <a:solidFill>
            <a:schemeClr val="accent3"/>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15:xForSave val="1"/>
            </c:ext>
          </c:extLst>
        </c:dLbl>
      </c:pivotFmt>
      <c:pivotFmt>
        <c:idx val="4"/>
        <c:spPr>
          <a:solidFill>
            <a:schemeClr val="accent4"/>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15:xForSave val="1"/>
            </c:ext>
          </c:extLst>
        </c:dLbl>
      </c:pivotFmt>
      <c:pivotFmt>
        <c:idx val="5"/>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6"/>
        <c:spPr>
          <a:solidFill>
            <a:schemeClr val="accent1"/>
          </a:solidFill>
          <a:ln w="25400">
            <a:solidFill>
              <a:schemeClr val="lt1"/>
            </a:solidFill>
          </a:ln>
          <a:effectLst/>
          <a:sp3d contourW="25400">
            <a:contourClr>
              <a:schemeClr val="lt1"/>
            </a:contourClr>
          </a:sp3d>
        </c:spPr>
      </c:pivotFmt>
      <c:pivotFmt>
        <c:idx val="7"/>
        <c:spPr>
          <a:solidFill>
            <a:schemeClr val="accent1"/>
          </a:solidFill>
          <a:ln w="25400">
            <a:solidFill>
              <a:schemeClr val="lt1"/>
            </a:solidFill>
          </a:ln>
          <a:effectLst/>
          <a:sp3d contourW="25400">
            <a:contourClr>
              <a:schemeClr val="lt1"/>
            </a:contourClr>
          </a:sp3d>
        </c:spPr>
      </c:pivotFmt>
      <c:pivotFmt>
        <c:idx val="8"/>
        <c:spPr>
          <a:solidFill>
            <a:schemeClr val="accent1"/>
          </a:solidFill>
          <a:ln w="25400">
            <a:solidFill>
              <a:schemeClr val="lt1"/>
            </a:solidFill>
          </a:ln>
          <a:effectLst/>
          <a:sp3d contourW="25400">
            <a:contourClr>
              <a:schemeClr val="lt1"/>
            </a:contourClr>
          </a:sp3d>
        </c:spPr>
      </c:pivotFmt>
      <c:pivotFmt>
        <c:idx val="9"/>
        <c:spPr>
          <a:solidFill>
            <a:schemeClr val="accent1"/>
          </a:solidFill>
          <a:ln w="25400">
            <a:solidFill>
              <a:schemeClr val="lt1"/>
            </a:solidFill>
          </a:ln>
          <a:effectLst/>
          <a:sp3d contourW="25400">
            <a:contourClr>
              <a:schemeClr val="lt1"/>
            </a:contourClr>
          </a:sp3d>
        </c:spPr>
      </c:pivotFmt>
      <c:pivotFmt>
        <c:idx val="10"/>
        <c:spPr>
          <a:solidFill>
            <a:schemeClr val="accent1"/>
          </a:solidFill>
          <a:ln w="25400">
            <a:solidFill>
              <a:schemeClr val="lt1"/>
            </a:solidFill>
          </a:ln>
          <a:effectLst/>
          <a:sp3d contourW="25400">
            <a:contourClr>
              <a:schemeClr val="lt1"/>
            </a:contourClr>
          </a:sp3d>
        </c:spPr>
      </c:pivotFmt>
      <c:pivotFmt>
        <c:idx val="11"/>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'Current Design Projects'!$F$3</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C789-498A-9A53-55B53074F514}"/>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C789-498A-9A53-55B53074F514}"/>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C789-498A-9A53-55B53074F514}"/>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C789-498A-9A53-55B53074F514}"/>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067C-49B1-85A4-CB52A55FE195}"/>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9-C789-498A-9A53-55B53074F51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'Current Design Projects'!$E$4:$E$10</c:f>
              <c:strCache>
                <c:ptCount val="6"/>
                <c:pt idx="0">
                  <c:v>Sanitary Sewer System</c:v>
                </c:pt>
                <c:pt idx="1">
                  <c:v>Shared Use Paths</c:v>
                </c:pt>
                <c:pt idx="2">
                  <c:v>Stormwater</c:v>
                </c:pt>
                <c:pt idx="3">
                  <c:v>Street Improvements</c:v>
                </c:pt>
                <c:pt idx="4">
                  <c:v>Street Rehabilitation</c:v>
                </c:pt>
                <c:pt idx="5">
                  <c:v>Water Distribution</c:v>
                </c:pt>
              </c:strCache>
            </c:strRef>
          </c:cat>
          <c:val>
            <c:numRef>
              <c:f>'Current Design Projects'!$F$4:$F$10</c:f>
              <c:numCache>
                <c:formatCode>General</c:formatCode>
                <c:ptCount val="6"/>
                <c:pt idx="0">
                  <c:v>12</c:v>
                </c:pt>
                <c:pt idx="1">
                  <c:v>1</c:v>
                </c:pt>
                <c:pt idx="2">
                  <c:v>10</c:v>
                </c:pt>
                <c:pt idx="3">
                  <c:v>9</c:v>
                </c:pt>
                <c:pt idx="4">
                  <c:v>1</c:v>
                </c:pt>
                <c:pt idx="5">
                  <c:v>6</c:v>
                </c:pt>
              </c:numCache>
            </c:numRef>
          </c:val>
          <c:extLst>
            <c:ext xmlns:c16="http://schemas.microsoft.com/office/drawing/2014/chart" uri="{C3380CC4-5D6E-409C-BE32-E72D297353CC}">
              <c16:uniqueId val="{00000008-C789-498A-9A53-55B53074F514}"/>
            </c:ext>
          </c:extLst>
        </c:ser>
        <c:dLbls>
          <c:dLblPos val="inEnd"/>
          <c:showLegendKey val="0"/>
          <c:showVal val="0"/>
          <c:showCatName val="1"/>
          <c:showSerName val="0"/>
          <c:showPercent val="0"/>
          <c:showBubbleSize val="0"/>
          <c:showLeaderLines val="0"/>
        </c:dLbls>
      </c:pie3DChart>
      <c:spPr>
        <a:noFill/>
        <a:ln>
          <a:noFill/>
        </a:ln>
        <a:effectLst/>
      </c:spPr>
    </c:plotArea>
    <c:legend>
      <c:legendPos val="tr"/>
      <c:layout>
        <c:manualLayout>
          <c:xMode val="edge"/>
          <c:yMode val="edge"/>
          <c:x val="0.64413145539906103"/>
          <c:y val="0.37970198101765396"/>
          <c:w val="0.33333333333333331"/>
          <c:h val="0.6162689871590012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[Sample Project List.xlsx]Current Design Projects!PivotTable7</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by Cost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1"/>
        <c:dLbl>
          <c:idx val="0"/>
          <c:dLblPos val="in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2"/>
        <c:dLbl>
          <c:idx val="0"/>
          <c:dLblPos val="in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3"/>
        <c:dLbl>
          <c:idx val="0"/>
          <c:dLblPos val="in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4"/>
        <c:dLbl>
          <c:idx val="0"/>
          <c:dLblPos val="in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5"/>
        <c:dLbl>
          <c:idx val="0"/>
          <c:dLblPos val="in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6"/>
        <c:dLbl>
          <c:idx val="0"/>
          <c:dLblPos val="in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7"/>
        <c:dLbl>
          <c:idx val="0"/>
          <c:dLblPos val="in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8"/>
        <c:dLbl>
          <c:idx val="0"/>
          <c:dLblPos val="in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9"/>
        <c:dLbl>
          <c:idx val="0"/>
          <c:dLblPos val="in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10"/>
        <c:dLbl>
          <c:idx val="0"/>
          <c:dLblPos val="inEnd"/>
          <c:showLegendKey val="0"/>
          <c:showVal val="0"/>
          <c:showCatName val="1"/>
          <c:showSerName val="0"/>
          <c:showPercent val="0"/>
          <c:showBubbleSize val="0"/>
          <c:extLst>
            <c:ext xmlns:c15="http://schemas.microsoft.com/office/drawing/2012/chart" uri="{CE6537A1-D6FC-4f65-9D91-7224C49458BB}">
              <c15:xForSave val="1"/>
            </c:ext>
          </c:extLst>
        </c:dLbl>
      </c:pivotFmt>
      <c:pivotFmt>
        <c:idx val="11"/>
        <c:dLbl>
          <c:idx val="0"/>
          <c:dLblPos val="outEnd"/>
          <c:showLegendKey val="0"/>
          <c:showVal val="0"/>
          <c:showCatName val="0"/>
          <c:showSerName val="0"/>
          <c:showPercent val="1"/>
          <c:showBubbleSize val="0"/>
          <c:extLst>
            <c:ext xmlns:c15="http://schemas.microsoft.com/office/drawing/2012/chart" uri="{CE6537A1-D6FC-4f65-9D91-7224C49458BB}"/>
          </c:extLst>
        </c:dLbl>
      </c:pivotFmt>
      <c:pivotFmt>
        <c:idx val="12"/>
        <c:dLbl>
          <c:idx val="0"/>
          <c:dLblPos val="inEnd"/>
          <c:showLegendKey val="0"/>
          <c:showVal val="0"/>
          <c:showCatName val="1"/>
          <c:showSerName val="0"/>
          <c:showPercent val="0"/>
          <c:showBubbleSize val="0"/>
          <c:extLst>
            <c:ext xmlns:c15="http://schemas.microsoft.com/office/drawing/2012/chart" uri="{CE6537A1-D6FC-4f65-9D91-7224C49458BB}"/>
          </c:extLst>
        </c:dLbl>
      </c:pivotFmt>
      <c:pivotFmt>
        <c:idx val="13"/>
        <c:dLbl>
          <c:idx val="0"/>
          <c:dLblPos val="inEnd"/>
          <c:showLegendKey val="0"/>
          <c:showVal val="0"/>
          <c:showCatName val="1"/>
          <c:showSerName val="0"/>
          <c:showPercent val="0"/>
          <c:showBubbleSize val="0"/>
          <c:extLst>
            <c:ext xmlns:c15="http://schemas.microsoft.com/office/drawing/2012/chart" uri="{CE6537A1-D6FC-4f65-9D91-7224C49458BB}"/>
          </c:extLst>
        </c:dLbl>
      </c:pivotFmt>
      <c:pivotFmt>
        <c:idx val="14"/>
        <c:dLbl>
          <c:idx val="0"/>
          <c:dLblPos val="inEnd"/>
          <c:showLegendKey val="0"/>
          <c:showVal val="0"/>
          <c:showCatName val="1"/>
          <c:showSerName val="0"/>
          <c:showPercent val="0"/>
          <c:showBubbleSize val="0"/>
          <c:extLst>
            <c:ext xmlns:c15="http://schemas.microsoft.com/office/drawing/2012/chart" uri="{CE6537A1-D6FC-4f65-9D91-7224C49458BB}"/>
          </c:extLst>
        </c:dLbl>
      </c:pivotFmt>
      <c:pivotFmt>
        <c:idx val="15"/>
        <c:dLbl>
          <c:idx val="0"/>
          <c:dLblPos val="inEnd"/>
          <c:showLegendKey val="0"/>
          <c:showVal val="0"/>
          <c:showCatName val="1"/>
          <c:showSerName val="0"/>
          <c:showPercent val="0"/>
          <c:showBubbleSize val="0"/>
          <c:extLst>
            <c:ext xmlns:c15="http://schemas.microsoft.com/office/drawing/2012/chart" uri="{CE6537A1-D6FC-4f65-9D91-7224C49458BB}"/>
          </c:extLst>
        </c:dLbl>
      </c:pivotFmt>
      <c:pivotFmt>
        <c:idx val="16"/>
        <c:dLbl>
          <c:idx val="0"/>
          <c:dLblPos val="inEnd"/>
          <c:showLegendKey val="0"/>
          <c:showVal val="0"/>
          <c:showCatName val="1"/>
          <c:showSerName val="0"/>
          <c:showPercent val="0"/>
          <c:showBubbleSize val="0"/>
          <c:extLst>
            <c:ext xmlns:c15="http://schemas.microsoft.com/office/drawing/2012/chart" uri="{CE6537A1-D6FC-4f65-9D91-7224C49458BB}"/>
          </c:extLst>
        </c:dLbl>
      </c:pivotFmt>
      <c:pivotFmt>
        <c:idx val="17"/>
        <c:dLbl>
          <c:idx val="0"/>
          <c:dLblPos val="inEnd"/>
          <c:showLegendKey val="0"/>
          <c:showVal val="0"/>
          <c:showCatName val="1"/>
          <c:showSerName val="0"/>
          <c:showPercent val="0"/>
          <c:showBubbleSize val="0"/>
          <c:extLst>
            <c:ext xmlns:c15="http://schemas.microsoft.com/office/drawing/2012/chart" uri="{CE6537A1-D6FC-4f65-9D91-7224C49458BB}"/>
          </c:extLst>
        </c:dLbl>
      </c:pivotFmt>
      <c:pivotFmt>
        <c:idx val="18"/>
        <c:dLbl>
          <c:idx val="0"/>
          <c:dLblPos val="inEnd"/>
          <c:showLegendKey val="0"/>
          <c:showVal val="0"/>
          <c:showCatName val="1"/>
          <c:showSerName val="0"/>
          <c:showPercent val="0"/>
          <c:showBubbleSize val="0"/>
          <c:extLst>
            <c:ext xmlns:c15="http://schemas.microsoft.com/office/drawing/2012/chart" uri="{CE6537A1-D6FC-4f65-9D91-7224C49458BB}"/>
          </c:extLst>
        </c:dLbl>
      </c:pivotFmt>
      <c:pivotFmt>
        <c:idx val="19"/>
        <c:dLbl>
          <c:idx val="0"/>
          <c:dLblPos val="inEnd"/>
          <c:showLegendKey val="0"/>
          <c:showVal val="0"/>
          <c:showCatName val="1"/>
          <c:showSerName val="0"/>
          <c:showPercent val="0"/>
          <c:showBubbleSize val="0"/>
          <c:extLst>
            <c:ext xmlns:c15="http://schemas.microsoft.com/office/drawing/2012/chart" uri="{CE6537A1-D6FC-4f65-9D91-7224C49458BB}"/>
          </c:extLst>
        </c:dLbl>
      </c:pivotFmt>
      <c:pivotFmt>
        <c:idx val="20"/>
        <c:dLbl>
          <c:idx val="0"/>
          <c:dLblPos val="inEnd"/>
          <c:showLegendKey val="0"/>
          <c:showVal val="0"/>
          <c:showCatName val="1"/>
          <c:showSerName val="0"/>
          <c:showPercent val="0"/>
          <c:showBubbleSize val="0"/>
          <c:extLst>
            <c:ext xmlns:c15="http://schemas.microsoft.com/office/drawing/2012/chart" uri="{CE6537A1-D6FC-4f65-9D91-7224C49458BB}"/>
          </c:extLst>
        </c:dLbl>
      </c:pivotFmt>
      <c:pivotFmt>
        <c:idx val="21"/>
        <c:dLbl>
          <c:idx val="0"/>
          <c:dLblPos val="inEnd"/>
          <c:showLegendKey val="0"/>
          <c:showVal val="0"/>
          <c:showCatName val="1"/>
          <c:showSerName val="0"/>
          <c:showPercent val="0"/>
          <c:showBubbleSize val="0"/>
          <c:extLst>
            <c:ext xmlns:c15="http://schemas.microsoft.com/office/drawing/2012/chart" uri="{CE6537A1-D6FC-4f65-9D91-7224C49458BB}"/>
          </c:extLst>
        </c:dLbl>
      </c:pivotFmt>
      <c:pivotFmt>
        <c:idx val="22"/>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23"/>
        <c:spPr>
          <a:solidFill>
            <a:schemeClr val="accent1"/>
          </a:solidFill>
          <a:ln w="25400">
            <a:solidFill>
              <a:schemeClr val="lt1"/>
            </a:solidFill>
          </a:ln>
          <a:effectLst/>
          <a:sp3d contourW="25400">
            <a:contourClr>
              <a:schemeClr val="lt1"/>
            </a:contourClr>
          </a:sp3d>
        </c:spPr>
      </c:pivotFmt>
      <c:pivotFmt>
        <c:idx val="24"/>
        <c:spPr>
          <a:solidFill>
            <a:schemeClr val="accent1"/>
          </a:solidFill>
          <a:ln w="25400">
            <a:solidFill>
              <a:schemeClr val="lt1"/>
            </a:solidFill>
          </a:ln>
          <a:effectLst/>
          <a:sp3d contourW="25400">
            <a:contourClr>
              <a:schemeClr val="lt1"/>
            </a:contourClr>
          </a:sp3d>
        </c:spPr>
      </c:pivotFmt>
      <c:pivotFmt>
        <c:idx val="25"/>
        <c:spPr>
          <a:solidFill>
            <a:schemeClr val="accent1"/>
          </a:solidFill>
          <a:ln w="25400">
            <a:solidFill>
              <a:schemeClr val="lt1"/>
            </a:solidFill>
          </a:ln>
          <a:effectLst/>
          <a:sp3d contourW="25400">
            <a:contourClr>
              <a:schemeClr val="lt1"/>
            </a:contourClr>
          </a:sp3d>
        </c:spPr>
      </c:pivotFmt>
      <c:pivotFmt>
        <c:idx val="26"/>
        <c:spPr>
          <a:solidFill>
            <a:schemeClr val="accent1"/>
          </a:solidFill>
          <a:ln w="25400">
            <a:solidFill>
              <a:schemeClr val="lt1"/>
            </a:solidFill>
          </a:ln>
          <a:effectLst/>
          <a:sp3d contourW="25400">
            <a:contourClr>
              <a:schemeClr val="lt1"/>
            </a:contourClr>
          </a:sp3d>
        </c:spPr>
      </c:pivotFmt>
      <c:pivotFmt>
        <c:idx val="27"/>
        <c:spPr>
          <a:solidFill>
            <a:schemeClr val="accent1"/>
          </a:solidFill>
          <a:ln w="25400">
            <a:solidFill>
              <a:schemeClr val="lt1"/>
            </a:solidFill>
          </a:ln>
          <a:effectLst/>
          <a:sp3d contourW="25400">
            <a:contourClr>
              <a:schemeClr val="lt1"/>
            </a:contourClr>
          </a:sp3d>
        </c:spPr>
      </c:pivotFmt>
      <c:pivotFmt>
        <c:idx val="28"/>
        <c:spPr>
          <a:solidFill>
            <a:schemeClr val="accent1"/>
          </a:solidFill>
          <a:ln w="25400">
            <a:solidFill>
              <a:schemeClr val="lt1"/>
            </a:solidFill>
          </a:ln>
          <a:effectLst/>
          <a:sp3d contourW="25400">
            <a:contourClr>
              <a:schemeClr val="lt1"/>
            </a:contourClr>
          </a:sp3d>
        </c:spPr>
      </c:pivotFmt>
      <c:pivotFmt>
        <c:idx val="29"/>
        <c:spPr>
          <a:solidFill>
            <a:schemeClr val="accent1"/>
          </a:solidFill>
          <a:ln w="25400">
            <a:solidFill>
              <a:schemeClr val="lt1"/>
            </a:solidFill>
          </a:ln>
          <a:effectLst/>
          <a:sp3d contourW="25400">
            <a:contourClr>
              <a:schemeClr val="lt1"/>
            </a:contourClr>
          </a:sp3d>
        </c:spPr>
      </c:pivotFmt>
      <c:pivotFmt>
        <c:idx val="30"/>
        <c:spPr>
          <a:solidFill>
            <a:schemeClr val="accent1"/>
          </a:solidFill>
          <a:ln w="25400">
            <a:solidFill>
              <a:schemeClr val="lt1"/>
            </a:solidFill>
          </a:ln>
          <a:effectLst/>
          <a:sp3d contourW="25400">
            <a:contourClr>
              <a:schemeClr val="lt1"/>
            </a:contourClr>
          </a:sp3d>
        </c:spPr>
      </c:pivotFmt>
      <c:pivotFmt>
        <c:idx val="31"/>
        <c:spPr>
          <a:solidFill>
            <a:schemeClr val="accent1"/>
          </a:solidFill>
          <a:ln w="25400">
            <a:solidFill>
              <a:schemeClr val="lt1"/>
            </a:solidFill>
          </a:ln>
          <a:effectLst/>
          <a:sp3d contourW="25400">
            <a:contourClr>
              <a:schemeClr val="lt1"/>
            </a:contourClr>
          </a:sp3d>
        </c:spPr>
      </c:pivotFmt>
      <c:pivotFmt>
        <c:idx val="32"/>
        <c:spPr>
          <a:solidFill>
            <a:schemeClr val="accent1"/>
          </a:solidFill>
          <a:ln w="25400">
            <a:solidFill>
              <a:schemeClr val="lt1"/>
            </a:solidFill>
          </a:ln>
          <a:effectLst/>
          <a:sp3d contourW="25400">
            <a:contourClr>
              <a:schemeClr val="lt1"/>
            </a:contourClr>
          </a:sp3d>
        </c:spPr>
      </c:pivotFmt>
      <c:pivotFmt>
        <c:idx val="33"/>
        <c:spPr>
          <a:solidFill>
            <a:schemeClr val="accent1"/>
          </a:solidFill>
          <a:ln w="25400">
            <a:solidFill>
              <a:schemeClr val="lt1"/>
            </a:solidFill>
          </a:ln>
          <a:effectLst/>
          <a:sp3d contourW="25400">
            <a:contourClr>
              <a:schemeClr val="lt1"/>
            </a:contourClr>
          </a:sp3d>
        </c:spPr>
      </c:pivotFmt>
      <c:pivotFmt>
        <c:idx val="34"/>
        <c:spPr>
          <a:solidFill>
            <a:schemeClr val="accent1"/>
          </a:solidFill>
          <a:ln w="25400">
            <a:solidFill>
              <a:schemeClr val="lt1"/>
            </a:solidFill>
          </a:ln>
          <a:effectLst/>
          <a:sp3d contourW="25400">
            <a:contourClr>
              <a:schemeClr val="lt1"/>
            </a:contourClr>
          </a:sp3d>
        </c:spPr>
      </c:pivotFmt>
      <c:pivotFmt>
        <c:idx val="35"/>
        <c:spPr>
          <a:solidFill>
            <a:schemeClr val="accent1"/>
          </a:solidFill>
          <a:ln w="25400">
            <a:solidFill>
              <a:schemeClr val="lt1"/>
            </a:solidFill>
          </a:ln>
          <a:effectLst/>
          <a:sp3d contourW="25400">
            <a:contourClr>
              <a:schemeClr val="lt1"/>
            </a:contourClr>
          </a:sp3d>
        </c:spPr>
      </c:pivotFmt>
      <c:pivotFmt>
        <c:idx val="36"/>
        <c:spPr>
          <a:solidFill>
            <a:schemeClr val="accent1"/>
          </a:solidFill>
          <a:ln w="25400">
            <a:solidFill>
              <a:schemeClr val="lt1"/>
            </a:solidFill>
          </a:ln>
          <a:effectLst/>
          <a:sp3d contourW="25400">
            <a:contourClr>
              <a:schemeClr val="lt1"/>
            </a:contourClr>
          </a:sp3d>
        </c:spPr>
      </c:pivotFmt>
      <c:pivotFmt>
        <c:idx val="37"/>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'Current Design Projects'!$E$27</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8D20-4591-BE0A-2BAFB59B62C3}"/>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8D20-4591-BE0A-2BAFB59B62C3}"/>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8D20-4591-BE0A-2BAFB59B62C3}"/>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8D20-4591-BE0A-2BAFB59B62C3}"/>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8D20-4591-BE0A-2BAFB59B62C3}"/>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8D20-4591-BE0A-2BAFB59B62C3}"/>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8D20-4591-BE0A-2BAFB59B62C3}"/>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8D20-4591-BE0A-2BAFB59B62C3}"/>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8D20-4591-BE0A-2BAFB59B62C3}"/>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8D20-4591-BE0A-2BAFB59B62C3}"/>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8D20-4591-BE0A-2BAFB59B62C3}"/>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8D20-4591-BE0A-2BAFB59B62C3}"/>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8D20-4591-BE0A-2BAFB59B62C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'Current Design Projects'!$E$28</c:f>
              <c:strCache>
                <c:ptCount val="1"/>
                <c:pt idx="0">
                  <c:v>Total</c:v>
                </c:pt>
              </c:strCache>
            </c:strRef>
          </c:cat>
          <c:val>
            <c:numRef>
              <c:f>'Current Design Projects'!$E$28</c:f>
              <c:numCache>
                <c:formatCode>_("$"* #,##0.00_);_("$"* \(#,##0.00\);_("$"* "-"??_);_(@_)</c:formatCode>
                <c:ptCount val="1"/>
                <c:pt idx="0">
                  <c:v>31885597</c:v>
                </c:pt>
              </c:numCache>
            </c:numRef>
          </c:val>
          <c:extLst>
            <c:ext xmlns:c16="http://schemas.microsoft.com/office/drawing/2014/chart" uri="{C3380CC4-5D6E-409C-BE32-E72D297353CC}">
              <c16:uniqueId val="{00000015-AD93-43B0-B88D-AB75CAA9BBA9}"/>
            </c:ext>
          </c:extLst>
        </c:ser>
        <c:dLbls>
          <c:dLblPos val="ctr"/>
          <c:showLegendKey val="0"/>
          <c:showVal val="0"/>
          <c:showCatName val="1"/>
          <c:showSerName val="0"/>
          <c:showPercent val="0"/>
          <c:showBubbleSize val="0"/>
          <c:showLeaderLines val="0"/>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593725</xdr:colOff>
      <xdr:row>9</xdr:row>
      <xdr:rowOff>0</xdr:rowOff>
    </xdr:from>
    <xdr:to>
      <xdr:col>6</xdr:col>
      <xdr:colOff>203200</xdr:colOff>
      <xdr:row>23</xdr:row>
      <xdr:rowOff>38100</xdr:rowOff>
    </xdr:to>
    <xdr:graphicFrame macro="">
      <xdr:nvGraphicFramePr>
        <xdr:cNvPr id="2" name="Chart 1">
          <a:extLst>
            <a:ext uri="{FF2B5EF4-FFF2-40B4-BE49-F238E27FC236}">
              <a16:creationId xmlns:a16="http://schemas.microsoft.com/office/drawing/2014/main" id="{6B250383-72B3-432E-E776-962C679FF0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15874</xdr:colOff>
      <xdr:row>38</xdr:row>
      <xdr:rowOff>171450</xdr:rowOff>
    </xdr:from>
    <xdr:to>
      <xdr:col>6</xdr:col>
      <xdr:colOff>1562100</xdr:colOff>
      <xdr:row>65</xdr:row>
      <xdr:rowOff>38100</xdr:rowOff>
    </xdr:to>
    <xdr:graphicFrame macro="">
      <xdr:nvGraphicFramePr>
        <xdr:cNvPr id="4" name="Chart 3">
          <a:extLst>
            <a:ext uri="{FF2B5EF4-FFF2-40B4-BE49-F238E27FC236}">
              <a16:creationId xmlns:a16="http://schemas.microsoft.com/office/drawing/2014/main" id="{DA77EADE-20FF-26BA-817B-DC5390DDEF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9525</xdr:colOff>
      <xdr:row>8</xdr:row>
      <xdr:rowOff>171450</xdr:rowOff>
    </xdr:from>
    <xdr:to>
      <xdr:col>15</xdr:col>
      <xdr:colOff>495300</xdr:colOff>
      <xdr:row>23</xdr:row>
      <xdr:rowOff>25400</xdr:rowOff>
    </xdr:to>
    <xdr:graphicFrame macro="">
      <xdr:nvGraphicFramePr>
        <xdr:cNvPr id="2" name="Chart 1">
          <a:extLst>
            <a:ext uri="{FF2B5EF4-FFF2-40B4-BE49-F238E27FC236}">
              <a16:creationId xmlns:a16="http://schemas.microsoft.com/office/drawing/2014/main" id="{0987E2C9-01DB-486C-B2CB-589C424BF9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28574</xdr:colOff>
      <xdr:row>40</xdr:row>
      <xdr:rowOff>177800</xdr:rowOff>
    </xdr:from>
    <xdr:to>
      <xdr:col>18</xdr:col>
      <xdr:colOff>12700</xdr:colOff>
      <xdr:row>67</xdr:row>
      <xdr:rowOff>44450</xdr:rowOff>
    </xdr:to>
    <xdr:graphicFrame macro="">
      <xdr:nvGraphicFramePr>
        <xdr:cNvPr id="3" name="Chart 2">
          <a:extLst>
            <a:ext uri="{FF2B5EF4-FFF2-40B4-BE49-F238E27FC236}">
              <a16:creationId xmlns:a16="http://schemas.microsoft.com/office/drawing/2014/main" id="{D4CEE257-CCC6-43D7-BE18-7223AF55B7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593725</xdr:colOff>
      <xdr:row>9</xdr:row>
      <xdr:rowOff>0</xdr:rowOff>
    </xdr:from>
    <xdr:to>
      <xdr:col>6</xdr:col>
      <xdr:colOff>660400</xdr:colOff>
      <xdr:row>23</xdr:row>
      <xdr:rowOff>19050</xdr:rowOff>
    </xdr:to>
    <xdr:graphicFrame macro="">
      <xdr:nvGraphicFramePr>
        <xdr:cNvPr id="2" name="Chart 1">
          <a:extLst>
            <a:ext uri="{FF2B5EF4-FFF2-40B4-BE49-F238E27FC236}">
              <a16:creationId xmlns:a16="http://schemas.microsoft.com/office/drawing/2014/main" id="{0BEB66A1-FBED-4486-ADE3-3E4B8B51EC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66674</xdr:colOff>
      <xdr:row>42</xdr:row>
      <xdr:rowOff>0</xdr:rowOff>
    </xdr:from>
    <xdr:to>
      <xdr:col>6</xdr:col>
      <xdr:colOff>1612900</xdr:colOff>
      <xdr:row>68</xdr:row>
      <xdr:rowOff>50800</xdr:rowOff>
    </xdr:to>
    <xdr:graphicFrame macro="">
      <xdr:nvGraphicFramePr>
        <xdr:cNvPr id="3" name="Chart 2">
          <a:extLst>
            <a:ext uri="{FF2B5EF4-FFF2-40B4-BE49-F238E27FC236}">
              <a16:creationId xmlns:a16="http://schemas.microsoft.com/office/drawing/2014/main" id="{273166DE-84C1-4A5F-B623-B937A83BA3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8771</xdr:colOff>
      <xdr:row>6</xdr:row>
      <xdr:rowOff>104619</xdr:rowOff>
    </xdr:to>
    <xdr:pic>
      <xdr:nvPicPr>
        <xdr:cNvPr id="3" name="Picture 2">
          <a:extLst>
            <a:ext uri="{FF2B5EF4-FFF2-40B4-BE49-F238E27FC236}">
              <a16:creationId xmlns:a16="http://schemas.microsoft.com/office/drawing/2014/main" id="{CB9264A3-FB4D-4786-91DA-89E70CB6BEB3}"/>
            </a:ext>
          </a:extLst>
        </xdr:cNvPr>
        <xdr:cNvPicPr>
          <a:picLocks noChangeAspect="1"/>
        </xdr:cNvPicPr>
      </xdr:nvPicPr>
      <xdr:blipFill>
        <a:blip xmlns:r="http://schemas.openxmlformats.org/officeDocument/2006/relationships" r:embed="rId1"/>
        <a:stretch>
          <a:fillRect/>
        </a:stretch>
      </xdr:blipFill>
      <xdr:spPr>
        <a:xfrm>
          <a:off x="0" y="0"/>
          <a:ext cx="6028571" cy="124761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yngelson, Mindy" refreshedDate="45849.583441319446" createdVersion="8" refreshedVersion="8" minRefreshableVersion="3" recordCount="37" xr:uid="{EFB43002-E146-4459-8A22-70C55F3D3107}">
  <cacheSource type="worksheet">
    <worksheetSource name="COA_Journal_Entries"/>
  </cacheSource>
  <cacheFields count="9">
    <cacheField name="Fiscal Year Journaled" numFmtId="0">
      <sharedItems count="2">
        <s v="2024/25"/>
        <s v="2025/26"/>
      </sharedItems>
    </cacheField>
    <cacheField name="Project Name" numFmtId="0">
      <sharedItems containsBlank="1"/>
    </cacheField>
    <cacheField name="Fund" numFmtId="0">
      <sharedItems containsString="0" containsBlank="1" containsNumber="1" containsInteger="1" minValue="60" maxValue="560"/>
    </cacheField>
    <cacheField name="Account #" numFmtId="0">
      <sharedItems containsBlank="1"/>
    </cacheField>
    <cacheField name="Journaled this FY" numFmtId="44">
      <sharedItems containsString="0" containsBlank="1" containsNumber="1" minValue="0" maxValue="250000"/>
    </cacheField>
    <cacheField name="Remaining for next FY" numFmtId="44">
      <sharedItems containsString="0" containsBlank="1" containsNumber="1" containsInteger="1" minValue="0" maxValue="100000"/>
    </cacheField>
    <cacheField name="Notes" numFmtId="0">
      <sharedItems containsBlank="1"/>
    </cacheField>
    <cacheField name="Target 89%" numFmtId="44">
      <sharedItems containsString="0" containsBlank="1" containsNumber="1" minValue="1585438.8800000001" maxValue="1585438.8800000001"/>
    </cacheField>
    <cacheField name="Differnce" numFmtId="0" formula="'Target 89%'-'Journaled this FY'" databaseField="0"/>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Ritter, McKinlee" refreshedDate="46190.650505671299" createdVersion="8" refreshedVersion="8" minRefreshableVersion="3" recordCount="272" xr:uid="{B9F103F8-3130-46A3-A64A-E583D106BC2A}">
  <cacheSource type="worksheet">
    <worksheetSource name="Project_List"/>
  </cacheSource>
  <cacheFields count="42">
    <cacheField name="Fiscal Year" numFmtId="0">
      <sharedItems containsBlank="1" count="18">
        <s v="2017/18"/>
        <s v="2018/19"/>
        <s v="2019/20"/>
        <s v="2020/21"/>
        <s v="2021/22"/>
        <s v="2022/23"/>
        <s v="2023/24"/>
        <s v="2024/25"/>
        <s v="2025/26"/>
        <s v="2026/27"/>
        <s v="2027/28"/>
        <s v="2028/29"/>
        <s v="2029/30"/>
        <s v="2030/31"/>
        <s v="2031/32"/>
        <s v="2032/33"/>
        <s v="2024/25 " u="1"/>
        <m u="1"/>
      </sharedItems>
    </cacheField>
    <cacheField name="Fund No." numFmtId="0">
      <sharedItems containsString="0" containsBlank="1" containsNumber="1" containsInteger="1" minValue="30" maxValue="561"/>
    </cacheField>
    <cacheField name="Fund Name" numFmtId="0">
      <sharedItems containsBlank="1" count="27">
        <s v="Sewer Utility"/>
        <s v="Stormwater Utility"/>
        <s v="2019/20 GO Bonds"/>
        <s v="Stormwater Improvements"/>
        <s v="American Rescue Plan"/>
        <s v="Water Utility"/>
        <s v="2020/21 GO Bonds"/>
        <s v="Street Construction"/>
        <s v="Road Use Tax"/>
        <s v="CDBG"/>
        <s v="2021/22 GO Bonds"/>
        <s v="Local Option Sales Tax"/>
        <s v="Sewer Improvements (SRF)"/>
        <s v="2022/23 GO Bonds"/>
        <s v="2023/24 GO Bonds"/>
        <s v="Electric Services"/>
        <s v="2025/26 GO Bonds"/>
        <s v="2026/27 GO Bonds"/>
        <s v="2027/28 GO Bonds"/>
        <e v="#N/A"/>
        <s v="2028/29 GO Bonds"/>
        <s v="2029/30 GO Bonds"/>
        <s v="2030/31 GO Bonds"/>
        <s v="2031/32 GO Bonds"/>
        <s v="2032/33 GO Bonds"/>
        <s v="Community Development Block Grant" u="1"/>
        <m u="1"/>
      </sharedItems>
    </cacheField>
    <cacheField name="Program" numFmtId="0">
      <sharedItems containsBlank="1" count="12">
        <s v="Sanitary Sewer System"/>
        <s v="Stormwater"/>
        <s v="Street Improvements"/>
        <s v="Water Distribution"/>
        <s v="Community Block Grant"/>
        <s v="Shared Use Paths"/>
        <s v="Alley Pavement Improvements"/>
        <s v="Public Safety-Fire"/>
        <s v="Electric Services"/>
        <s v="Streetlight and Line Relocation"/>
        <s v="Street Rehabilitation"/>
        <m/>
      </sharedItems>
    </cacheField>
    <cacheField name="Account #" numFmtId="0">
      <sharedItems containsBlank="1" containsMixedTypes="1" containsNumber="1" containsInteger="1" minValue="-87" maxValue="386" count="141">
        <s v="520-8542-489"/>
        <s v="560-8635-489"/>
        <s v="560-8657-489"/>
        <s v="380-8165-439"/>
        <s v="560-8636-489"/>
        <s v="561-8636-489"/>
        <s v="122-8460-489"/>
        <s v="122-8519-489"/>
        <s v="510-8461-489"/>
        <s v="381-8141-439"/>
        <s v="320-8141-439"/>
        <s v="381-8166-439"/>
        <s v="060-8023-431"/>
        <s v="060-8166-439"/>
        <s v="087-0690-464"/>
        <s v="510-8430-489"/>
        <s v="520-8519-489"/>
        <s v="560-8642-489"/>
        <s v="382-8167-439"/>
        <s v="030-8167-439"/>
        <s v="380-8181-439"/>
        <s v="320-8167-439"/>
        <s v="030-8811-439"/>
        <s v="320-8181-439"/>
        <s v="382-8101-439"/>
        <s v="382-8130-439"/>
        <s v="320-8142-439"/>
        <s v="382-8142-439"/>
        <s v="382-8153-439"/>
        <s v="510-8461-481"/>
        <s v="382-8155-439"/>
        <s v="030-8115-439"/>
        <s v="560-8601-489"/>
        <s v="560-8624-489"/>
        <s v="560-8626-489"/>
        <s v="560-8637-489"/>
        <s v="520-8572-489"/>
        <s v="522-8549-489"/>
        <s v="522-8550-489"/>
        <s v="122-8571-489"/>
        <s v="383-8168-439"/>
        <s v="383-8170-439"/>
        <s v="030-8116-439"/>
        <s v="060-8166-439-7517"/>
        <s v="060-7770-439"/>
        <s v="384-8171-439"/>
        <s v="510-8194-439"/>
        <s v="320-8122-439"/>
        <s v="383-8116-439"/>
        <s v="383-2260-429"/>
        <s v="383-8101-439"/>
        <s v="383-8154-439"/>
        <s v="381-8122-489"/>
        <s v="520-8194-439"/>
        <s v="030-8122-489"/>
        <s v="530-4823-489"/>
        <s v="383-8122-489"/>
        <s v="520-8571-489"/>
        <s v="560-8638-489"/>
        <s v="520-8585-489"/>
        <s v="522-8551-489"/>
        <s v="560-8659-489"/>
        <s v="522-8552-489"/>
        <s v="522-8553-489"/>
        <s v="122-8573-489"/>
        <s v="520-8131-489"/>
        <s v="520-8501-489"/>
        <s v="380-8131-489"/>
        <s v="510-8131-489"/>
        <s v="384-8131-439"/>
        <s v="060-8131-489"/>
        <s v="384-8117-439"/>
        <s v="384-8101-439"/>
        <s v="384-8143-439"/>
        <s v="384-8169-439"/>
        <s v="510-8401-489"/>
        <s v="384-8191-439"/>
        <s v="560-8639-489"/>
        <s v="522-8554-489"/>
        <s v="122-8572-489"/>
        <s v="560-8183-489"/>
        <s v="560-8194-439"/>
        <s v="510-8465-489"/>
        <s v="380-8184-439"/>
        <s v="381-8184-439"/>
        <s v="320-8184-439"/>
        <n v="-87"/>
        <s v="560-8605-489"/>
        <s v="381-8132-439"/>
        <s v="382-8132-439"/>
        <s v="383-8132-439"/>
        <s v="060-"/>
        <s v="320-8183-439"/>
        <s v="383-8183-439"/>
        <s v="384-8183-439"/>
        <s v="087-"/>
        <s v="122-8520-489"/>
        <s v="560-8640-489"/>
        <s v="560-8653-489"/>
        <s v="386-8172-439"/>
        <s v="386-8133-439"/>
        <s v="030-881-439"/>
        <s v="320-8133-439"/>
        <s v="520-8160-489"/>
        <s v="386-8160-439"/>
        <s v="510-8159-489"/>
        <s v="520-8159-489"/>
        <s v="560-"/>
        <s v="520-"/>
        <s v="060-8194-439"/>
        <s v="510-"/>
        <s v="383-8150-439"/>
        <s v="386-8101-489"/>
        <s v="520-7525-489"/>
        <s v="510-7525-489"/>
        <s v="520-8521-489"/>
        <s v="560-8118-489"/>
        <s v="520-8118-489"/>
        <s v="386-8118-489"/>
        <s v="510-8118-489"/>
        <s v="560-8161-489"/>
        <s v="520-8161-489"/>
        <s v="386-8161-439"/>
        <s v="510-8161-489"/>
        <s v="560-8634-489"/>
        <s v="320-"/>
        <s v="387-"/>
        <m/>
        <s v="383-8122-439"/>
        <s v="560-8603-489"/>
        <s v="560-8641-489"/>
        <s v="387-8134-439"/>
        <s v="388-8135-439"/>
        <s v="388-"/>
        <s v="389-"/>
        <s v="390-"/>
        <s v="391-"/>
        <s v="030-"/>
        <s v="392-"/>
        <s v="386-8159-439"/>
        <n v="386" u="1"/>
      </sharedItems>
    </cacheField>
    <cacheField name="Program Name" numFmtId="0">
      <sharedItems count="39">
        <s v="Sanitary Sewer System Improvements"/>
        <s v="Stormwater Erosion Control Program"/>
        <s v="Low Point Drainage Improvements"/>
        <s v="Concrete Pavement Improvements"/>
        <s v="Prairie View Utility Extension"/>
        <s v="Water System Improvements"/>
        <s v="Arterial Street Pavement Improvements"/>
        <s v="Collector Street Pavement Improvements"/>
        <s v="CDBG Improvements (Baker Subdivision)"/>
        <s v="Stormwater Improvement Program"/>
        <s v="S. 16th &amp; S. Duff  Improvements"/>
        <s v="Shared Use Path Maintenance"/>
        <s v="Seal Coat Street Pavement Improvements"/>
        <s v="Downtown Street Improvements "/>
        <s v="Asphalt Street Pavement Improvements"/>
        <s v="Stormwater Quality Improvements"/>
        <s v="Stormwater Detention/Retention Maintenance Program"/>
        <s v="Ames Plan 2040 Sanitary"/>
        <s v="Concrete Pavement Improvements "/>
        <s v="Neighborhood Curb Replacement Program"/>
        <s v="Right-of-Way Restoration"/>
        <s v="Cyride Route Pavement Improvements"/>
        <s v="Fire Station 3 PCC Replacement "/>
        <s v="Downtown Street Improvements"/>
        <s v="Street Light and Line Relocation"/>
        <s v="Clear Water Diversion"/>
        <s v="Campustown Public Improvements"/>
        <s v="S 16th St Roadway Widening"/>
        <s v="ROW Restoration"/>
        <s v="Stormwater System Analysis"/>
        <s v="Alley Pavement Improvement Program"/>
        <s v="Detention-Retention Maintenance"/>
        <s v="South Skunk River Improvements"/>
        <s v="Well Water Main Protection"/>
        <s v="Lincoln Way Bridge Replacement"/>
        <s v="Bridge Rehabilitation Program"/>
        <s v="Shared Use Path Extension"/>
        <s v="Streetscape Enhancements" u="1"/>
        <s v="Pavement Restoration" u="1"/>
      </sharedItems>
    </cacheField>
    <cacheField name="Project Name" numFmtId="0">
      <sharedItems containsBlank="1" count="184">
        <s v="Siphon Rehab (7 locations)"/>
        <s v="South Skunk River (various locations between South East 16th Street and East Lincoln Way)"/>
        <s v="Airport Rd (from University Blvd to S. Riverside Dr.)"/>
        <s v="Center Ave (from Lincoln Way to E 2nd St)_x000a_Des Moines Ave (from Lincoln Way to E 3rd St)_x000a_Douglas Ave (from 7th to 10th)_x000a_E 2nd Street (from Duff Ave. to Center Ave)_x000a_E 3rd Street (from Duff Ave to E. of Des Moines St)"/>
        <s v="Basin 10 (Clark Ave to Maxwell Ave)"/>
        <s v="Ioway Creek (6th St. to 13th St)"/>
        <s v="East Lincoln Way (Freel to Teller)"/>
        <s v="E 13th Street (Duff Ave to Meadowlane Ave)"/>
        <s v="Ford St (Dayton Ave to Bell Ave)_x000a_Bell Ave (E Lincoln Way to Ford Street)_x000a_S. 17th St (West of Golden Aspen Dr to S. Kellogg Ave.)_x000a_South Kellogg Ave ( S. 17th to S. 16th St)"/>
        <s v="8th St (Northwestern Ave to Duff Ave)"/>
        <s v="E 20th Street (Duff Ave to Meadowlane Ave)"/>
        <s v="Baker Street"/>
        <s v="24th St (PineHurst Dr to Hayes Ave)_x000a_Stange Ave (Blankenburg Dr. to 24th St.)"/>
        <s v="US Hwy 69_x000a_Grand Ave (6th St to 12th St)_x000a_Murray Dr (1400 block)_x000a_SE 2nd St (S Duff-Sumner)_x000a_11th St (Grand - 150' east)"/>
        <s v="S. 16th (S Grand Ave to East of S Duff Ave)"/>
        <s v="Stafford Ave (13th St to Carroll Ave.)"/>
        <s v="S Duff Ave (5th St. to Lincoln Way)"/>
        <s v="Hoover Ave (24th St to Top-O-Hollow)"/>
        <s v="North Dakota Ave (from Ontario to UPRR)_x000a_Ontario St (from North Dakota to Woodstock)"/>
        <s v="Alley (Duff Ave. to Sherman Ave.)"/>
        <s v="North 2nd St (N Elm Ave to N Maple Ave)_x000a_South Kellogg Ave (South to Carroll Ave)"/>
        <s v="Harcourt Dr (from Garnet Dr to Jewel Dr)_x000a_Opal Circle (from Opal Dr to east end)_x000a_Opal Dr (Jewel Dr to Crystal St)_x000a_Top-O-Hollow Rd (Bloomington Rd to Dawes Dr.)_x000a_Turquoise Circle (Onyx St to S. End)"/>
        <s v="Northridge Heights Pond on GW Carver"/>
        <s v="Bloomington Waterway (Hyde Ave to Harrison Road)"/>
        <s v="Worrell Creek Trunk Line"/>
        <s v="Ames High School &amp; Veenker Golf"/>
        <s v="N Sunset Ridge Sanitary Sewer"/>
        <s v="9th St (Brookridge Ave to Northwestern Ave)_x000a_Brookridge Ave (6th St to Ridgewood Ave)_x000a_Alley (6th St to 9th St)_x000a_Lee St (Brookridge Ave to Ridgewood Ave)_x000a_Ridgewood Ave (6th St to 9th St)"/>
        <s v="Oakwood Rd (State Ave to University Ave)"/>
        <s v="Murray Dr (Northwestern to Grand Ave)"/>
        <s v="Lincoln Way (Beedle/Hickory Dr to Franklin Ave)"/>
        <s v="2400 S Duff Ave"/>
        <s v="28th St (Hoover Ave to Ferndale Ave)"/>
        <s v="North/South Alley (Adams Alley between Douglas Ave &amp; Duff Ave)"/>
        <s v="Schubert St, Taft Ave, Wheeler St, and 20th St"/>
        <s v="Clear Creek Bank Stabilization (4921 Utah Dr)"/>
        <s v="Clear Creek bank Stabilization (west of Brittish Columbia Ave)"/>
        <s v="Basin 11"/>
        <s v="1100 Kennedy St_x000a_East Lincoln Way (2000 block)_x000a_2100/2200 Jensen Ave_x000a_Barr Drive_x000a_Pearle Ave Alley_x000a_Harrison Road (1900 block)_x000a_Northridge Lane (2800 block)_x000a_Garnet Dr (700 block)_x000a_Idaho Ct (1200 block)"/>
        <s v="US Highway 69 (Basin 12)"/>
        <s v="US 69 (Basin 12)"/>
        <s v="Downtown (Basin 12)"/>
        <s v="S 500th Avenue County Line Road"/>
        <s v="6th St (Brookridge Ave to Northwestern Ave)"/>
        <s v="Welch Ave (Chamberlain St to Knapp St)_x000a_Chamberlain Place"/>
        <s v="E 7th St. (Crawford to End)_x000a_North Riverside Dr (Lincoln Way to N 3rd)"/>
        <s v="East 16th St (Duff Ave to Maxwell Ave)_x000a_Glendale Ave (E 13th St - E 16th St)_x000a_Quebec St (4101 - Arizona Ave)_x000a_Quebec Circle"/>
        <s v="Curtiss Ave (13th St to 16th St)_x000a_Marston Ave (13th St to 16th St)_x000a_Phoenix Circle_x000a_Roosevelt Ave (13th St to 16th St)"/>
        <s v="Kellogg Ave (7th St. to 13th St)_x000a_11th St (Burnett Ave to Kellogg Ave)"/>
        <s v="N. Russell (N 2nd St to N 4th St)"/>
        <s v="Prairie View West: Prairie View East"/>
        <s v="East Lincoln Way &amp; Nikkol Trunk Line"/>
        <s v="College Creek Bank Stabilization (Hemingway Drive)"/>
        <s v="Inis Grove (near restroom)"/>
        <s v="550th (Ken Maril Rd to 265th St)"/>
        <s v="S. 16th (University Boulevard to Apple Place)"/>
        <s v="ROW Restoration"/>
        <s v="Ada Hayden Sturges Tributary"/>
        <s v="East Lincoln Way (Teller Ave to Potter Ave)"/>
        <s v="E. 14th St. (Glendale to Meadowlane)_x000a_Meadowlane (E. 13th St. to E. 14th St.)"/>
        <s v="Hyland Ave (Lincoln Way to Ontario St)"/>
        <s v="S. Russell (S 4th to Lincoln Way)"/>
        <s v="Stormwater System Analysis"/>
        <s v="US Highway 69 (Ken Maril Rd to South Past Waterway)"/>
        <s v="Oakland St. (Oliver Ave to Hawthorne Ave)"/>
        <s v="N. Russell (Lincoln Way to N 2nd St)"/>
        <s v="Lincoln Way (Wilder Ave to County Line)"/>
        <s v="Douglas Ave (16th St to 17th St)_x000a_Barr Drive_x000a_17th St (Douglas Ave to West St)"/>
        <s v="24th St (Grand Ave east and west - 300' each)"/>
        <s v="S. Riverside (S. 4th St to Lincoln Way)"/>
        <s v="E 13th St (S. Dayton Ave to East of I-35)"/>
        <s v="Douglas Ave (14th to 16th)"/>
        <s v="Clear Creek Bank Stablization (west of North Dakota Ave)"/>
        <s v="South of Ken Maril Road (extend earthen berm behind 300/400 blocks) and Crystal drainage ditch(east of Crystal Street cul-de-sac)"/>
        <s v="25/26 Sanitary and Storm Televising"/>
        <s v="6th St / Duff Ave_x000a_20th St / Northwestern Ave_x000a_S Bell Ave / SE 16th St_x000a_Grove Ave / River Oak Dr"/>
        <s v="Alley south of Lincoln Way (S. Kellogg Ave to Sherman Ave)"/>
        <s v="Bloomington Road (GW Carver to Eisenhower Ave)"/>
        <s v="Campus Ave (Lincoln Way to Oakland St)"/>
        <s v="Clark Ave (9th St to 13th St)"/>
        <s v="City-Wide"/>
        <s v="East/West alley north of Lincoln Way (Sherman Ave to Kellogg Ave)"/>
        <s v="Ferndale Ave (20th St to 24th St)_x000a_Furman Drive"/>
        <s v="Grand &amp; 13th Intersection"/>
        <s v="Highway 30 Sanitary Sewer Relocation"/>
        <s v="Hillcrest Ave_x000a_Ellis Street_x000a_Kentucky Ave_x000a_Illinois Ave_x000a_Indiana Ave_x000a_Oklahoma Dr_x000a_Delaware Ave (N Dakota Ave to Ontario St)"/>
        <s v="Moore Memorial Park Sanitary Sewer Lining"/>
        <s v="Sunset Drive (Ash Ave to Beach Ave)"/>
        <s v="Animal Shelter Site"/>
        <s v="Worrell Creek Bank Stabilization (south of Mortensen Pkwy from Gateway Hill Park Dr to University Blvd)"/>
        <s v="East Lincoln Way (Duff Ave to the  Skunk River)"/>
        <s v="Toronto St (N Dakota Ave to Garfield Ave)_x000a_Garfield Ave (north of Ontario St)_x000a_Woodstock Ave_x000a_Windsor Court"/>
        <s v="Washington Ave (Lincoln Way to S 3rd St)"/>
        <s v="State Avenue"/>
        <s v="North Loop Dr_x000a_9th St (Roosevelt Ave to Grand Ave)_x000a_Gaskill Dr (250' S of Friley Rd. to Country Club Blvd)_x000a_Crawford Ave (end to E. 9th St)"/>
        <s v="Lincoln Way (Hayward Ave to Beach Ave)"/>
        <s v="Ada Hayden Wetlands"/>
        <s v="6th St_x000a_Crystal Street (200 Block)"/>
        <s v="Grand Ave Underpass"/>
        <s v="Canterbury Court"/>
        <s v="Ioway Creek (Stange Rd at Veenker Golf Course)"/>
        <s v="West Street (Crane Ave to Hillcrest Ave)"/>
        <s v="Duff Ave (6th St to 13th St)"/>
        <s v="Wheeler Street (Hoover Ave to Roy Key Ave)"/>
        <s v="SE 16th St Ped Bridge"/>
        <s v="Washington Ave (S 3rd St to S 4th St)_x000a_S 4th St (Walnut to East End)"/>
        <s v="Truman Place_x000a_Regency Court_x000a_Onyx Street_x000a_Southdale Drive_x000a_Clemens Boulevard (S. Dakota Ave to Wilder Ave)"/>
        <s v="Bloomington Road (Hoover Ave to Eisenhower Ave)"/>
        <s v="Alley south of Lincoln Way (Washington Ave to S. Walnut Ave)"/>
        <s v="Alley south of Lincoln Way (S. Duff to S. Sherman Ave)"/>
        <s v="6th St (Clark Ave to Duff Ave)"/>
        <s v="Dayton Ave (east side ditch along USDA facility) and Worrell Creek (Ames Airport)"/>
        <s v="South Franklin Ave (Lincoln Way to Tripp St)_x000a_Village Dr"/>
        <s v="Lincoln Way Bridge over Ioway Creek"/>
        <s v="Dickinson Ave (Mortensen Ave s. through circle)_x000a_Green Hills Dr (Oakwood Rd to Red Oak Dr)_x000a_Red Oak Drive/Circle_x000a_White Oak Drive/Circle_x000a_Burr Oak Circle_x000a_Jefferson Street/Circle_x000a_Garner Ave/Circle_x000a_Nixon Ave/Circle"/>
        <s v="7th St (Grand Ave to Burnett Ave)"/>
        <s v="16th Street (Grand Ave to Ridgewood Ave)"/>
        <s v="Duff Ave (20th St to Northwood Dr)"/>
        <s v="Clear Creek bank stabilization and restoration (former Sands McDorman property)"/>
        <s v="E. 13th St (McCormick Ave to Dayton Ave)"/>
        <s v="E. 13th St (McComick Ave to Dayton Ave)"/>
        <s v="Roosevelt (16th St to 20th St)_x000a_Cessna St_x000a_Woodland (Franklin Ave to Hira Park)_x000a_Wilder Blvd (170' north of Rowling Dr to Lincoln Way)"/>
        <s v="Dickinson Ave (Mortensen Rd to Steinbeck St)_x000a_Steinbeck St (S Dakota Ave to Poe Ave)"/>
        <s v="Alley south of Lincon Way (S. Kellogg Ave to Washington Ave)"/>
        <s v="13th Street (Hyland Ave to Union Pacific RR Bridge)"/>
        <s v="Country Club (Cessna to Pearson)"/>
        <s v="E. 13th St (between ramps under I35)_x000a_E Lincoln Way/Dayton Ave Intersection"/>
        <s v="Ioway Creek in Stuart Smith Park"/>
        <s v="Chamberlain St (Hayward Ave to Lynn Ave)"/>
        <s v="Hoover Ave and Adams St Intersection"/>
        <s v="3711 and 3719 Hoover Ave"/>
        <s v="7th St (Burnett to Duff)"/>
        <s v="Thackery Ave (Todd Dr to Lincoln Way)_x000a_Todd Dr (Thackeray to Alcott)_x000a_Alcott Ave (Todd Dr to Lincoln Way)"/>
        <s v="E. 13th St (250' East of Meadowlane Ave to Skunk River)"/>
        <s v="Alley between Douglas Ave and Duff Ave (7th St to 8th St)"/>
        <s v="Stone Brooke Road (Fletcher to Fletcher)_x000a_Stone Brooke Circle_x000a_Douglas Ave (O'Neil to Duff)_x000a_O'Neil Dr (Douglas to Duff)"/>
        <s v="Pearson Ave (Country Club to Sunset Dr)_x000a_Greeley St (Pearson Ave to Beach Ave) "/>
        <s v="7th St (Northwestern-Grand)_x000a_Wilson Ave (7th - 13th)_x000a_Hodge Ave (6th - 7th)"/>
        <s v="Alley between Douglas Ave and Duff Ave (8th S to 9th St)"/>
        <s v="Lincoln Highway and County Line Road Roundabout"/>
        <s v="Alley between Douglas Ave and Duff Ave (6th St to 7th St)"/>
        <s v="Campus Ave (Lincoln Way to Oakland St)_x000a_Clark Ave (9th St to 13th St)" u="1"/>
        <s v="Toronto St (N Dakota Ave to Garvield Ave)_x000a_Garfield Ave (north of Ontario St)_x000a_Woodstock Ave_x000a_Windsor Court" u="1"/>
        <m u="1"/>
        <s v="Unknown" u="1"/>
        <s v="Washington Ave (S 2nd St to S 3rd St)" u="1"/>
        <s v="Sunset Drive (Ash Ave to Beach Ave)_x000a_" u="1"/>
        <s v="Clear Creek Bank Stabilization (west of North Dakota Ave)" u="1"/>
        <s v="2025/26 Road Projects - disperse as needed" u="1"/>
        <s v="Campus Ave (Lincoln Way to Oakland St)_x000a_Sunset Drive (Ash Ave to Beach Ave)" u="1"/>
        <s v="7th St (Northwestern to Clark)_x000a_Wilson Ave (7th St to 13th St)" u="1"/>
        <s v="Lincoln Way (Beach Ave to Hayward Ave)" u="1"/>
        <s v="Inis Grove" u="1"/>
        <s v="Wilson Ave (7th St to 13th St)" u="1"/>
        <s v="East 13th St (between ramps under I35)_x000a_E Lincoln Way/Dayton Ave Intersection" u="1"/>
        <s v="Woodstock Ave" u="1"/>
        <s v="Windsor Ct" u="1"/>
        <s v="Garfield Ave (North and South of Ontario St)" u="1"/>
        <s v="Wilder Ave (Clemons Blvd to Lincoln Way)" u="1"/>
        <s v="Toronto St (N Dakota Ave to Garvield Ave)_x000a_Garfield Ave (north and south of Ontario St)_x000a_Woodstock Ave_x000a_Windsor Court" u="1"/>
        <s v="Chamberlain St (Lynn Ave to Hayward Ave)" u="1"/>
        <s v="S. Skunk River" u="1"/>
        <s v="Campus Ave (Lincoln Way to Oakland St)_x000a_Cark Ave (9th St to 13th St)" u="1"/>
        <s v="Campus Ave (Lincoln Way to Oakland St)_x000a_Sunset Drive (Ash Ave to Beach Ave)_x000a_Cark Ave (9th St to 13th St)" u="1"/>
        <s v="Stuart Smith Park" u="1"/>
        <s v="South of Ken Maril Road (extend earthen berm behin 300/400 blocks) and Crystal drainage ditc(east of Crystal Street cul-de-sac)" u="1"/>
        <s v="Duff Ave and 6th St_x000a_Crystal Street (200 Block)" u="1"/>
        <s v="Worrell Creek" u="1"/>
        <s v="E. 14th St. (Glendale to Meadow Lane)_x000a_Meadow Lane (E. 13th St. to E. 14th St.)" u="1"/>
        <s v="Canterbury Court Waterway" u="1"/>
        <s v="Oakland St. (Hawthorne Ave to Franklin Ave)" u="1"/>
        <s v="East 13th St (S. Dayton Ave to East of I-35)" u="1"/>
        <s v="Mortensen Pkwy and University Blvd- Gateway Hill Park" u="1"/>
        <s v="E. Lincoln Way (Teller Ave to Potter Ave)" u="1"/>
        <s v="E. Lincoln Way (Duff Ave to the  Skunk River)" u="1"/>
        <s v="E Lincoln Way (Freel to Teller)" u="1"/>
        <s v="E Lincoln Way &amp; Nikkol Trunk Line" u="1"/>
        <s v="Washington Ave (Lincoln Way to S 2nd St)" u="1"/>
        <s v="Ferndale Ave (20th St to 24th St)" u="1"/>
        <s v="E. Lincoln Way (Duff Ave  Skunk River)" u="1"/>
        <s v="Center Ave (from Lincoln Way to E 2nd St)_x000a_Des Moines Ave (from Lincoln Wa to E 3rd St)_x000a_Douglas Ave (from 7th to 10th)_x000a_E 2nd Street (from Duff Ave. to Center Ave)_x000a_E 3rd Street (from Duff Ave to E. of Des Moines St)" u="1"/>
        <s v="Alley south of Lincoln Way (S. Duff Ave to S. Sherman Ave)" u="1"/>
        <s v="Clear Creek bank stabilization and restoration (former Sands0McDorman property)" u="1"/>
        <s v="Alley South of Lincoln Way (S Duff to Sherman Ave)" u="1"/>
      </sharedItems>
    </cacheField>
    <cacheField name="Current Phase" numFmtId="0">
      <sharedItems containsBlank="1" count="10">
        <s v="Complete"/>
        <s v="Design"/>
        <s v="Construction"/>
        <s v="Close-Out"/>
        <s v="Will not proceed"/>
        <s v="Planning"/>
        <s v="Construction "/>
        <s v="Bidding"/>
        <m u="1"/>
        <s v="Contract Negotiation" u="1"/>
      </sharedItems>
    </cacheField>
    <cacheField name="Overall Budget" numFmtId="44">
      <sharedItems containsString="0" containsBlank="1" containsNumber="1" minValue="0" maxValue="7500000"/>
    </cacheField>
    <cacheField name="Construction PO #s" numFmtId="0">
      <sharedItems containsBlank="1" containsMixedTypes="1" containsNumber="1" containsInteger="1" minValue="58517" maxValue="641188" count="53">
        <n v="58661"/>
        <m/>
        <n v="63108"/>
        <n v="59264"/>
        <s v="57882_x000a_58953"/>
        <n v="64278"/>
        <n v="59817"/>
        <n v="59602"/>
        <n v="60631"/>
        <n v="59263"/>
        <n v="58517"/>
        <n v="61756"/>
        <n v="61160"/>
        <n v="60632"/>
        <n v="60633"/>
        <n v="60574"/>
        <n v="60733"/>
        <n v="60316"/>
        <n v="61047"/>
        <n v="60457"/>
        <n v="63112"/>
        <n v="63043"/>
        <n v="61570"/>
        <n v="62065"/>
        <n v="62021"/>
        <n v="61683"/>
        <n v="60913"/>
        <n v="62918"/>
        <n v="61681"/>
        <n v="61495"/>
        <n v="61682"/>
        <n v="60907"/>
        <n v="62979"/>
        <n v="64556"/>
        <n v="62157"/>
        <n v="63957"/>
        <n v="63041"/>
        <n v="63042"/>
        <n v="62905"/>
        <n v="62893"/>
        <n v="62892"/>
        <n v="63386"/>
        <n v="64492"/>
        <n v="63110"/>
        <n v="64372"/>
        <n v="64118"/>
        <n v="64734"/>
        <n v="64389"/>
        <n v="64739"/>
        <n v="63866"/>
        <n v="62500"/>
        <n v="63650"/>
        <n v="641188" u="1"/>
      </sharedItems>
    </cacheField>
    <cacheField name="Design Engineer" numFmtId="0">
      <sharedItems containsBlank="1"/>
    </cacheField>
    <cacheField name="Professional Service Agreement (PSA) Amount" numFmtId="164">
      <sharedItems containsString="0" containsBlank="1" containsNumber="1" minValue="0" maxValue="321000"/>
    </cacheField>
    <cacheField name="Actual PSA Spent" numFmtId="164">
      <sharedItems containsString="0" containsBlank="1" containsNumber="1" minValue="0" maxValue="312400"/>
    </cacheField>
    <cacheField name="Fiscal Year Design Complete" numFmtId="0">
      <sharedItems containsBlank="1"/>
    </cacheField>
    <cacheField name="Fiscal Year Bid" numFmtId="0">
      <sharedItems containsBlank="1"/>
    </cacheField>
    <cacheField name="Construction Start Date" numFmtId="14">
      <sharedItems containsNonDate="0" containsDate="1" containsString="0" containsBlank="1" minDate="2020-11-01T00:00:00" maxDate="2025-10-28T00:00:00"/>
    </cacheField>
    <cacheField name="Construction Completion Date" numFmtId="14">
      <sharedItems containsDate="1" containsBlank="1" containsMixedTypes="1" minDate="2022-02-01T00:00:00" maxDate="2025-12-01T00:00:00"/>
    </cacheField>
    <cacheField name="Fiscal Year Construction Completed" numFmtId="14">
      <sharedItems containsBlank="1"/>
    </cacheField>
    <cacheField name="Planned Construction Completion Date" numFmtId="0">
      <sharedItems containsDate="1" containsBlank="1" containsMixedTypes="1" minDate="2021-06-30T00:00:00" maxDate="2028-01-01T00:00:00"/>
    </cacheField>
    <cacheField name="Inspector" numFmtId="0">
      <sharedItems containsBlank="1"/>
    </cacheField>
    <cacheField name="COA Project Engineer" numFmtId="0">
      <sharedItems containsBlank="1"/>
    </cacheField>
    <cacheField name="Contractor" numFmtId="0">
      <sharedItems containsBlank="1"/>
    </cacheField>
    <cacheField name="Additional Funding" numFmtId="0">
      <sharedItems containsBlank="1"/>
    </cacheField>
    <cacheField name="MPO STBG Funds" numFmtId="0">
      <sharedItems containsBlank="1"/>
    </cacheField>
    <cacheField name="Engineer's Est" numFmtId="164">
      <sharedItems containsString="0" containsBlank="1" containsNumber="1" minValue="0" maxValue="3366596.4"/>
    </cacheField>
    <cacheField name="Bid Amount" numFmtId="164">
      <sharedItems containsString="0" containsBlank="1" containsNumber="1" minValue="0" maxValue="3791558.69"/>
    </cacheField>
    <cacheField name="Construction Change Orders" numFmtId="164">
      <sharedItems containsString="0" containsBlank="1" containsNumber="1" minValue="-181860.26" maxValue="209782.96000000002"/>
    </cacheField>
    <cacheField name="Anticipated Costs Unincombered" numFmtId="164">
      <sharedItems containsString="0" containsBlank="1" containsNumber="1" containsInteger="1" minValue="0" maxValue="35000"/>
    </cacheField>
    <cacheField name="Final Construction Costs" numFmtId="164">
      <sharedItems containsString="0" containsBlank="1" containsNumber="1" minValue="0" maxValue="4461037.25"/>
    </cacheField>
    <cacheField name="Estimated COA_x000a_Engineering / _x000a_Admin" numFmtId="164">
      <sharedItems containsString="0" containsBlank="1" containsNumber="1" minValue="0" maxValue="697193.13"/>
    </cacheField>
    <cacheField name="Actual COA Engineering / Admin" numFmtId="164">
      <sharedItems containsString="0" containsBlank="1" containsNumber="1" minValue="0" maxValue="200000"/>
    </cacheField>
    <cacheField name="Total Anticipated Costs (PSA+Est+COA Est)" numFmtId="164">
      <sharedItems containsString="0" containsBlank="1" containsNumber="1" minValue="0" maxValue="3942000"/>
    </cacheField>
    <cacheField name="Actual Contractual Costs + Estimated COA" numFmtId="164">
      <sharedItems containsString="0" containsBlank="1" containsNumber="1" minValue="0" maxValue="5365090.38"/>
    </cacheField>
    <cacheField name="Remaining Budget (Budget-Total Antic.)" numFmtId="164">
      <sharedItems containsString="0" containsBlank="1" containsNumber="1" minValue="-2691023.83" maxValue="7228000"/>
    </cacheField>
    <cacheField name="NPDES Permit" numFmtId="0">
      <sharedItems containsBlank="1"/>
    </cacheField>
    <cacheField name="Available Balance (11/04/2025)" numFmtId="44">
      <sharedItems containsString="0" containsBlank="1" containsNumber="1" minValue="-273593" maxValue="5553127"/>
    </cacheField>
    <cacheField name="RFP" numFmtId="44">
      <sharedItems containsBlank="1" count="3">
        <s v="No"/>
        <s v="Yes"/>
        <m/>
      </sharedItems>
    </cacheField>
    <cacheField name="Notes" numFmtId="0">
      <sharedItems containsBlank="1" longText="1"/>
    </cacheField>
    <cacheField name="Distinct Count" numFmtId="0">
      <sharedItems containsString="0" containsBlank="1" containsNumber="1" containsInteger="1" minValue="0" maxValue="1"/>
    </cacheField>
    <cacheField name="Percent Over/Under" numFmtId="0" formula="'Final Construction Costs'/'Bid Amount'" databaseField="0"/>
    <cacheField name="Field1" numFmtId="0" formula="'Engineer''s Est'-'Bid Amount'" databaseField="0"/>
    <cacheField name="Field2" numFmtId="0" formula="'Bid Amount'/'Engineer''s Est'"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
  <r>
    <x v="0"/>
    <s v="CIP Salary Allocation"/>
    <m/>
    <m/>
    <m/>
    <m/>
    <m/>
    <n v="1585438.8800000001"/>
  </r>
  <r>
    <x v="0"/>
    <s v="ROW Restoration - Water"/>
    <n v="510"/>
    <s v="510-8194-439"/>
    <n v="32895.599999999999"/>
    <n v="0"/>
    <m/>
    <m/>
  </r>
  <r>
    <x v="0"/>
    <s v="Sanitary Sewer Rehab"/>
    <n v="520"/>
    <s v="520-8542-489"/>
    <n v="100000"/>
    <n v="0"/>
    <m/>
    <m/>
  </r>
  <r>
    <x v="0"/>
    <s v="ROW Restoration - Stormwater"/>
    <n v="560"/>
    <s v="560-8194-439"/>
    <n v="22857"/>
    <n v="0"/>
    <m/>
    <m/>
  </r>
  <r>
    <x v="0"/>
    <s v="Airport Road"/>
    <n v="384"/>
    <s v="384-8143-439"/>
    <n v="140000"/>
    <n v="0"/>
    <m/>
    <m/>
  </r>
  <r>
    <x v="0"/>
    <s v="E 16th St, Glendale, Quebec"/>
    <n v="384"/>
    <s v="384-8101-439"/>
    <n v="130000"/>
    <n v="0"/>
    <m/>
    <m/>
  </r>
  <r>
    <x v="0"/>
    <s v="Clear Water Diversion"/>
    <n v="520"/>
    <s v="520-8585-489"/>
    <n v="12000"/>
    <n v="0"/>
    <m/>
    <m/>
  </r>
  <r>
    <x v="0"/>
    <s v="24th &amp; Stange"/>
    <n v="382"/>
    <s v="382-8167-439"/>
    <n v="140000"/>
    <n v="0"/>
    <m/>
    <m/>
  </r>
  <r>
    <x v="0"/>
    <s v="College Creek Bank Stabilization (Hemingway Drive)"/>
    <n v="560"/>
    <s v="560-8639-489"/>
    <n v="10000"/>
    <n v="10000"/>
    <m/>
    <m/>
  </r>
  <r>
    <x v="0"/>
    <s v="Low Point Drainage Improvemenets"/>
    <n v="560"/>
    <s v="560-8659-489"/>
    <n v="10000"/>
    <n v="20000"/>
    <m/>
    <m/>
  </r>
  <r>
    <x v="0"/>
    <s v="Cyride (Lincoln Way)"/>
    <n v="383"/>
    <s v="383-8122-489"/>
    <n v="100000"/>
    <n v="0"/>
    <m/>
    <m/>
  </r>
  <r>
    <x v="0"/>
    <s v="6th St (Brookridge Ave to Northwestern Ave)"/>
    <n v="384"/>
    <s v="384-8131-439"/>
    <n v="100000"/>
    <n v="100000"/>
    <m/>
    <m/>
  </r>
  <r>
    <x v="0"/>
    <s v="Oakland St. (Hawthorne Ave to Franklin Ave)"/>
    <n v="381"/>
    <s v="381-8132-439"/>
    <n v="50000"/>
    <n v="50000"/>
    <s v="381, 382, or 383 Accounts"/>
    <m/>
  </r>
  <r>
    <x v="0"/>
    <s v="Concrete (Brookridge, etc.)"/>
    <n v="383"/>
    <s v="383-8168-439"/>
    <n v="145000"/>
    <n v="0"/>
    <m/>
    <m/>
  </r>
  <r>
    <x v="0"/>
    <s v="Bloomington Waterway (Hyde Ave to Harrison Road)"/>
    <n v="560"/>
    <s v="560-8637-489"/>
    <n v="2324.5700000000002"/>
    <m/>
    <m/>
    <m/>
  </r>
  <r>
    <x v="0"/>
    <s v="Prairie View (East Industrial)"/>
    <m/>
    <m/>
    <n v="120000"/>
    <n v="0"/>
    <m/>
    <m/>
  </r>
  <r>
    <x v="0"/>
    <s v="ROW Restoration - Road Use Tax"/>
    <n v="60"/>
    <s v="060-8194-439"/>
    <n v="45000"/>
    <n v="0"/>
    <m/>
    <m/>
  </r>
  <r>
    <x v="0"/>
    <s v="Ioway Creek"/>
    <n v="560"/>
    <s v="560-8636-489"/>
    <n v="20000"/>
    <n v="82080"/>
    <m/>
    <m/>
  </r>
  <r>
    <x v="0"/>
    <m/>
    <m/>
    <m/>
    <m/>
    <m/>
    <m/>
    <m/>
  </r>
  <r>
    <x v="0"/>
    <m/>
    <m/>
    <m/>
    <m/>
    <m/>
    <m/>
    <m/>
  </r>
  <r>
    <x v="0"/>
    <m/>
    <m/>
    <m/>
    <m/>
    <m/>
    <m/>
    <m/>
  </r>
  <r>
    <x v="0"/>
    <m/>
    <m/>
    <m/>
    <m/>
    <m/>
    <m/>
    <m/>
  </r>
  <r>
    <x v="0"/>
    <m/>
    <m/>
    <m/>
    <m/>
    <m/>
    <m/>
    <m/>
  </r>
  <r>
    <x v="0"/>
    <m/>
    <m/>
    <m/>
    <m/>
    <m/>
    <m/>
    <m/>
  </r>
  <r>
    <x v="0"/>
    <m/>
    <m/>
    <m/>
    <m/>
    <m/>
    <m/>
    <m/>
  </r>
  <r>
    <x v="0"/>
    <m/>
    <m/>
    <m/>
    <m/>
    <m/>
    <m/>
    <m/>
  </r>
  <r>
    <x v="0"/>
    <m/>
    <m/>
    <m/>
    <m/>
    <m/>
    <m/>
    <m/>
  </r>
  <r>
    <x v="1"/>
    <s v="CIP Salary Allocation"/>
    <m/>
    <m/>
    <m/>
    <m/>
    <m/>
    <n v="1585438.8800000001"/>
  </r>
  <r>
    <x v="1"/>
    <s v="Prairie View West: Prairie View East"/>
    <n v="384"/>
    <s v="384-8169-439"/>
    <n v="250000"/>
    <n v="0"/>
    <s v="place all in 2025/26"/>
    <m/>
  </r>
  <r>
    <x v="1"/>
    <s v="College Creek Bank Stabilization (Hemingway Drive)"/>
    <n v="560"/>
    <s v="560-8639-489"/>
    <n v="10000"/>
    <n v="0"/>
    <m/>
    <m/>
  </r>
  <r>
    <x v="1"/>
    <s v="Low Point Drainage Improvemenets"/>
    <n v="560"/>
    <s v="560-8659-489"/>
    <n v="20000"/>
    <n v="0"/>
    <m/>
    <m/>
  </r>
  <r>
    <x v="1"/>
    <s v="6th St (Brookridge Ave to Northwestern Ave)"/>
    <n v="384"/>
    <s v="384-8131-439"/>
    <n v="100000"/>
    <n v="0"/>
    <m/>
    <m/>
  </r>
  <r>
    <x v="1"/>
    <s v="Oakland St. (Oliver Ave to Hawthorne Ave)"/>
    <n v="382"/>
    <s v="382-8132-439"/>
    <n v="100000"/>
    <n v="0"/>
    <m/>
    <m/>
  </r>
  <r>
    <x v="1"/>
    <s v="S 16th St Roadway Widening"/>
    <n v="320"/>
    <s v="320-8183-439"/>
    <n v="73875"/>
    <n v="73875"/>
    <m/>
    <m/>
  </r>
  <r>
    <x v="1"/>
    <s v="550th (Ken Maril Rd to 265th St)"/>
    <n v="520"/>
    <s v="520-8572-489"/>
    <n v="32006"/>
    <m/>
    <s v="place all in 2025/26"/>
    <m/>
  </r>
  <r>
    <x v="1"/>
    <s v="Ada Hayden Trail (parks)"/>
    <m/>
    <m/>
    <n v="25000"/>
    <m/>
    <m/>
    <m/>
  </r>
  <r>
    <x v="1"/>
    <s v="Ioway Creek"/>
    <n v="560"/>
    <s v="560-8636-489"/>
    <n v="0"/>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2">
  <r>
    <x v="0"/>
    <n v="520"/>
    <x v="0"/>
    <x v="0"/>
    <x v="0"/>
    <x v="0"/>
    <x v="0"/>
    <x v="0"/>
    <m/>
    <x v="0"/>
    <s v="WHKS"/>
    <n v="86700"/>
    <m/>
    <s v="2019/20"/>
    <s v="2020/21"/>
    <d v="2020-12-22T00:00:00"/>
    <d v="2022-02-01T00:00:00"/>
    <s v="2021/22"/>
    <d v="2021-12-31T00:00:00"/>
    <s v="WHKS"/>
    <s v="Hafiz"/>
    <s v="Visu-Sewer"/>
    <s v="No"/>
    <s v="No"/>
    <n v="900000"/>
    <n v="1440778"/>
    <m/>
    <m/>
    <n v="1409307.8"/>
    <m/>
    <m/>
    <n v="986700"/>
    <n v="1496007.8"/>
    <n v="-986700"/>
    <s v="No"/>
    <m/>
    <x v="0"/>
    <m/>
    <n v="1"/>
  </r>
  <r>
    <x v="1"/>
    <n v="560"/>
    <x v="1"/>
    <x v="1"/>
    <x v="1"/>
    <x v="1"/>
    <x v="1"/>
    <x v="1"/>
    <n v="654000"/>
    <x v="1"/>
    <m/>
    <m/>
    <m/>
    <m/>
    <m/>
    <m/>
    <m/>
    <m/>
    <m/>
    <m/>
    <m/>
    <m/>
    <m/>
    <m/>
    <m/>
    <m/>
    <m/>
    <m/>
    <m/>
    <m/>
    <m/>
    <n v="0"/>
    <n v="0"/>
    <n v="654000"/>
    <m/>
    <n v="628400"/>
    <x v="1"/>
    <m/>
    <n v="1"/>
  </r>
  <r>
    <x v="1"/>
    <n v="560"/>
    <x v="1"/>
    <x v="1"/>
    <x v="2"/>
    <x v="2"/>
    <x v="2"/>
    <x v="0"/>
    <n v="195970"/>
    <x v="2"/>
    <s v="WHKS"/>
    <n v="0"/>
    <n v="0"/>
    <s v="2023/24"/>
    <s v="2023/24"/>
    <d v="2024-05-15T00:00:00"/>
    <d v="2024-11-30T00:00:00"/>
    <s v="2024/25"/>
    <d v="2025-08-01T00:00:00"/>
    <s v="Scott S"/>
    <s v="Hafiz"/>
    <s v="All Star Concrete"/>
    <s v="No"/>
    <s v="No"/>
    <n v="182110.5"/>
    <n v="194388.1"/>
    <m/>
    <m/>
    <n v="160643"/>
    <m/>
    <m/>
    <n v="182110.5"/>
    <n v="160643"/>
    <n v="13859.5"/>
    <s v="No"/>
    <n v="0"/>
    <x v="0"/>
    <s v="Returned $2,725 to fund"/>
    <n v="1"/>
  </r>
  <r>
    <x v="2"/>
    <n v="380"/>
    <x v="2"/>
    <x v="2"/>
    <x v="3"/>
    <x v="3"/>
    <x v="3"/>
    <x v="0"/>
    <m/>
    <x v="3"/>
    <s v="Tracy"/>
    <n v="0"/>
    <m/>
    <s v="2020/21"/>
    <s v="2020/21"/>
    <d v="2021-05-01T00:00:00"/>
    <d v="2023-01-26T00:00:00"/>
    <s v="2022/23"/>
    <s v="11/'19/2021"/>
    <s v="Jared"/>
    <s v="Hafiz"/>
    <s v="Manatt's"/>
    <s v="No"/>
    <s v="No"/>
    <n v="2203927.0299999998"/>
    <n v="1571889.4"/>
    <m/>
    <m/>
    <n v="1583919.49"/>
    <m/>
    <m/>
    <n v="2203927.0299999998"/>
    <n v="1583919.49"/>
    <n v="-2203927.0299999998"/>
    <s v="No"/>
    <n v="0"/>
    <x v="0"/>
    <m/>
    <n v="1"/>
  </r>
  <r>
    <x v="2"/>
    <n v="520"/>
    <x v="0"/>
    <x v="0"/>
    <x v="0"/>
    <x v="0"/>
    <x v="4"/>
    <x v="0"/>
    <m/>
    <x v="4"/>
    <s v="WHKS"/>
    <n v="75000"/>
    <m/>
    <s v="2020/21"/>
    <s v="2020/21"/>
    <d v="2022-05-01T00:00:00"/>
    <d v="2023-01-18T00:00:00"/>
    <s v="2022/23"/>
    <d v="2023-01-18T00:00:00"/>
    <s v="WHKS"/>
    <s v="Hafiz"/>
    <s v="Municipal Tool"/>
    <s v="No"/>
    <s v="No"/>
    <n v="1935315"/>
    <n v="1283163.75"/>
    <m/>
    <m/>
    <n v="814323.71"/>
    <m/>
    <m/>
    <n v="2010315"/>
    <n v="889323.71"/>
    <n v="-2010315"/>
    <s v="No"/>
    <m/>
    <x v="0"/>
    <s v="between N 24th and N 9th Streets"/>
    <n v="1"/>
  </r>
  <r>
    <x v="2"/>
    <n v="560"/>
    <x v="1"/>
    <x v="1"/>
    <x v="4"/>
    <x v="1"/>
    <x v="5"/>
    <x v="2"/>
    <n v="1258000"/>
    <x v="5"/>
    <s v="WHKS"/>
    <n v="126320"/>
    <m/>
    <s v="2024/25"/>
    <s v="2024/25"/>
    <d v="2025-06-16T00:00:00"/>
    <m/>
    <s v="2025/26"/>
    <d v="2025-12-31T00:00:00"/>
    <s v="Jake/Jared"/>
    <s v="Liz"/>
    <s v="Iowa Earth Works"/>
    <m/>
    <s v="No"/>
    <n v="958953"/>
    <n v="787433"/>
    <m/>
    <m/>
    <m/>
    <n v="123680"/>
    <m/>
    <n v="1208953"/>
    <n v="250000"/>
    <n v="49047"/>
    <s v="Yes"/>
    <n v="196926"/>
    <x v="0"/>
    <m/>
    <n v="0"/>
  </r>
  <r>
    <x v="2"/>
    <n v="561"/>
    <x v="3"/>
    <x v="1"/>
    <x v="5"/>
    <x v="1"/>
    <x v="5"/>
    <x v="2"/>
    <n v="900000"/>
    <x v="5"/>
    <s v="WHKS"/>
    <n v="0"/>
    <n v="0"/>
    <s v="2024/25"/>
    <s v="2024/25"/>
    <d v="2025-06-16T00:00:00"/>
    <m/>
    <s v="2025/26"/>
    <d v="2025-12-31T00:00:00"/>
    <s v="Jake/Jared"/>
    <s v="Liz"/>
    <s v="Iowa Earth Works"/>
    <m/>
    <s v="No"/>
    <n v="900000"/>
    <n v="900000"/>
    <n v="0"/>
    <n v="0"/>
    <n v="900000"/>
    <n v="0"/>
    <n v="0"/>
    <n v="900000"/>
    <n v="900000"/>
    <n v="0"/>
    <m/>
    <n v="0"/>
    <x v="0"/>
    <s v="At Brookside Park.  SRF Sponsored Project ($300,000), IDALS Water Quality Initiative ($100,000), IFA Water Infrastrucurre Fund ($500,000), Donation ($90,000)"/>
    <n v="1"/>
  </r>
  <r>
    <x v="3"/>
    <n v="122"/>
    <x v="4"/>
    <x v="0"/>
    <x v="6"/>
    <x v="4"/>
    <x v="6"/>
    <x v="0"/>
    <m/>
    <x v="6"/>
    <s v="Stanley Consultants"/>
    <n v="0"/>
    <n v="0"/>
    <s v="2020/21"/>
    <s v="2020/21"/>
    <d v="2021-11-01T00:00:00"/>
    <d v="2023-06-01T00:00:00"/>
    <s v="2024/25"/>
    <d v="2023-06-01T00:00:00"/>
    <s v="Jesus"/>
    <s v="Dean"/>
    <s v="Keller"/>
    <s v="EDA"/>
    <s v="No"/>
    <n v="2691023.83"/>
    <n v="2988836"/>
    <m/>
    <m/>
    <n v="1225735"/>
    <m/>
    <m/>
    <n v="2691023.83"/>
    <n v="1225735"/>
    <n v="-2691023.83"/>
    <s v="Yes"/>
    <n v="0"/>
    <x v="1"/>
    <m/>
    <n v="1"/>
  </r>
  <r>
    <x v="3"/>
    <n v="122"/>
    <x v="4"/>
    <x v="0"/>
    <x v="7"/>
    <x v="4"/>
    <x v="6"/>
    <x v="0"/>
    <n v="86751"/>
    <x v="6"/>
    <s v="Stanley Consultants"/>
    <n v="0"/>
    <n v="0"/>
    <s v="2020/21"/>
    <s v="2020/21"/>
    <d v="2021-11-01T00:00:00"/>
    <d v="2023-06-01T00:00:00"/>
    <s v="2024/25"/>
    <d v="2023-06-01T00:00:00"/>
    <s v="Jesus"/>
    <s v="Dean"/>
    <s v="Keller"/>
    <s v="EDA"/>
    <s v="No"/>
    <n v="215635.86"/>
    <n v="239500"/>
    <m/>
    <m/>
    <n v="1944800.74"/>
    <m/>
    <m/>
    <n v="215635.86"/>
    <n v="1944800.74"/>
    <n v="-128884.85999999999"/>
    <s v="Yes"/>
    <n v="-273593"/>
    <x v="1"/>
    <m/>
    <n v="0"/>
  </r>
  <r>
    <x v="3"/>
    <n v="510"/>
    <x v="5"/>
    <x v="3"/>
    <x v="8"/>
    <x v="5"/>
    <x v="7"/>
    <x v="0"/>
    <n v="555000"/>
    <x v="7"/>
    <s v="WHKS"/>
    <n v="27198.332000000002"/>
    <n v="27150.959995600002"/>
    <s v="2020/21"/>
    <s v="2021/22"/>
    <d v="2022-04-01T00:00:00"/>
    <d v="2025-07-30T00:00:00"/>
    <s v="2025/26"/>
    <d v="2023-05-02T00:00:00"/>
    <s v="Scott M"/>
    <s v="Dean"/>
    <s v="Con-Struct"/>
    <s v="Yes"/>
    <s v="No"/>
    <n v="382707"/>
    <n v="555000"/>
    <m/>
    <m/>
    <n v="663481.44999999995"/>
    <m/>
    <m/>
    <n v="409905.33199999999"/>
    <n v="690679.78200000001"/>
    <n v="145094.66800000001"/>
    <s v="No"/>
    <m/>
    <x v="0"/>
    <m/>
    <n v="0"/>
  </r>
  <r>
    <x v="3"/>
    <n v="381"/>
    <x v="6"/>
    <x v="2"/>
    <x v="9"/>
    <x v="6"/>
    <x v="7"/>
    <x v="0"/>
    <n v="900000"/>
    <x v="7"/>
    <s v="WHKS"/>
    <n v="25728.696"/>
    <n v="25683.8836968"/>
    <s v="2020/21"/>
    <s v="2021/22"/>
    <d v="2022-04-01T00:00:00"/>
    <d v="2025-07-30T00:00:00"/>
    <s v="2025/26"/>
    <d v="2023-05-02T00:00:00"/>
    <s v="Scott M"/>
    <s v="Dean"/>
    <s v="Con-Struct"/>
    <s v="Yes"/>
    <s v="No"/>
    <n v="536955.1"/>
    <n v="525000"/>
    <m/>
    <m/>
    <n v="525000"/>
    <m/>
    <m/>
    <n v="562683.79599999997"/>
    <n v="550728.696"/>
    <n v="337316.20400000003"/>
    <s v="No"/>
    <m/>
    <x v="0"/>
    <m/>
    <n v="0"/>
  </r>
  <r>
    <x v="3"/>
    <n v="320"/>
    <x v="7"/>
    <x v="2"/>
    <x v="10"/>
    <x v="6"/>
    <x v="7"/>
    <x v="0"/>
    <n v="1600000"/>
    <x v="7"/>
    <s v="WHKS"/>
    <n v="78411.263999999996"/>
    <n v="78274.693171200008"/>
    <s v="2020/21"/>
    <s v="2021/22"/>
    <d v="2022-04-01T00:00:00"/>
    <d v="2025-07-30T00:00:00"/>
    <s v="2025/26"/>
    <d v="2023-05-02T00:00:00"/>
    <s v="Scott M"/>
    <s v="Dean"/>
    <s v="Con-Struct"/>
    <s v="Yes"/>
    <s v="No"/>
    <n v="1757735.6"/>
    <n v="1600000"/>
    <n v="-55427.87"/>
    <m/>
    <n v="1486168.58"/>
    <n v="476134.97"/>
    <m/>
    <n v="2312281.8339999998"/>
    <n v="2040714.814"/>
    <n v="-712281.8339999998"/>
    <s v="No"/>
    <m/>
    <x v="0"/>
    <m/>
    <n v="1"/>
  </r>
  <r>
    <x v="3"/>
    <n v="381"/>
    <x v="6"/>
    <x v="2"/>
    <x v="11"/>
    <x v="3"/>
    <x v="8"/>
    <x v="0"/>
    <m/>
    <x v="8"/>
    <s v="Tracy"/>
    <n v="0"/>
    <n v="0"/>
    <s v="2021/22"/>
    <s v="2021/22"/>
    <d v="2023-04-01T00:00:00"/>
    <d v="2024-05-01T00:00:00"/>
    <s v="2023/24"/>
    <d v="2022-12-31T00:00:00"/>
    <s v="Scott M"/>
    <s v="Hafiz"/>
    <s v="Con-Struct"/>
    <s v="No"/>
    <s v="No"/>
    <n v="666563"/>
    <n v="666666"/>
    <m/>
    <m/>
    <n v="664014"/>
    <m/>
    <m/>
    <n v="666563"/>
    <n v="664014"/>
    <n v="-666563"/>
    <s v="No"/>
    <n v="0"/>
    <x v="0"/>
    <m/>
    <n v="1"/>
  </r>
  <r>
    <x v="3"/>
    <n v="381"/>
    <x v="6"/>
    <x v="2"/>
    <x v="11"/>
    <x v="3"/>
    <x v="9"/>
    <x v="0"/>
    <n v="1581905.25"/>
    <x v="9"/>
    <s v="Tracy"/>
    <n v="0"/>
    <n v="0"/>
    <s v="2020/21"/>
    <s v="2020/21"/>
    <d v="2021-06-01T00:00:00"/>
    <d v="2022-02-10T00:00:00"/>
    <s v="2021/22"/>
    <s v="6/31/22"/>
    <m/>
    <s v="Hafiz"/>
    <s v="Manatt's"/>
    <s v="No"/>
    <s v="No"/>
    <n v="1581905.25"/>
    <n v="1156246.21"/>
    <m/>
    <m/>
    <n v="1173433.56"/>
    <m/>
    <m/>
    <n v="1581905.25"/>
    <n v="1173433.56"/>
    <n v="0"/>
    <s v="No"/>
    <n v="0"/>
    <x v="0"/>
    <m/>
    <n v="1"/>
  </r>
  <r>
    <x v="3"/>
    <n v="60"/>
    <x v="8"/>
    <x v="2"/>
    <x v="12"/>
    <x v="7"/>
    <x v="10"/>
    <x v="0"/>
    <n v="776718.91"/>
    <x v="1"/>
    <s v="Dean"/>
    <n v="0"/>
    <n v="0"/>
    <s v="2020/21"/>
    <s v="2021/22"/>
    <d v="2021-09-01T00:00:00"/>
    <d v="2022-08-09T00:00:00"/>
    <s v="2022/23"/>
    <d v="2022-08-09T00:00:00"/>
    <s v="Scott S"/>
    <s v="Dean"/>
    <s v="All Star Concrete"/>
    <s v="No"/>
    <s v="No"/>
    <n v="901527.95"/>
    <n v="776718.91"/>
    <m/>
    <m/>
    <n v="743263.53"/>
    <m/>
    <m/>
    <n v="901527.95"/>
    <n v="743263.53"/>
    <n v="-124809.03999999992"/>
    <s v="No"/>
    <n v="0"/>
    <x v="0"/>
    <m/>
    <n v="1"/>
  </r>
  <r>
    <x v="3"/>
    <n v="60"/>
    <x v="8"/>
    <x v="2"/>
    <x v="13"/>
    <x v="3"/>
    <x v="9"/>
    <x v="0"/>
    <n v="100000"/>
    <x v="9"/>
    <s v="Tracy"/>
    <n v="0"/>
    <n v="0"/>
    <s v="2020/21"/>
    <s v="2020/21"/>
    <d v="2021-06-01T00:00:00"/>
    <d v="2022-02-10T00:00:00"/>
    <s v="2021/22"/>
    <s v="6/31/22"/>
    <m/>
    <s v="Hafiz"/>
    <s v="Manatt's"/>
    <s v="No"/>
    <s v="No"/>
    <n v="100000"/>
    <n v="100000"/>
    <m/>
    <m/>
    <n v="111094.7"/>
    <m/>
    <m/>
    <n v="100000"/>
    <n v="111094.7"/>
    <n v="0"/>
    <s v="No"/>
    <n v="0"/>
    <x v="0"/>
    <m/>
    <n v="0"/>
  </r>
  <r>
    <x v="3"/>
    <n v="87"/>
    <x v="9"/>
    <x v="4"/>
    <x v="14"/>
    <x v="8"/>
    <x v="11"/>
    <x v="0"/>
    <m/>
    <x v="10"/>
    <s v="CDA"/>
    <m/>
    <m/>
    <s v="2020/21"/>
    <s v="2020/21"/>
    <d v="2020-11-01T00:00:00"/>
    <d v="2022-08-31T00:00:00"/>
    <s v="2022/23"/>
    <d v="2021-06-30T00:00:00"/>
    <s v="Scott S"/>
    <s v="Tracy"/>
    <s v="Con-Struct"/>
    <s v="CDBG"/>
    <s v="No"/>
    <n v="1402922"/>
    <n v="1317872.6499999999"/>
    <m/>
    <m/>
    <n v="1401355.78"/>
    <m/>
    <m/>
    <n v="1402922"/>
    <n v="1401355.78"/>
    <n v="-1402922"/>
    <s v="Yes"/>
    <n v="0"/>
    <x v="0"/>
    <m/>
    <n v="1"/>
  </r>
  <r>
    <x v="3"/>
    <n v="510"/>
    <x v="5"/>
    <x v="3"/>
    <x v="15"/>
    <x v="5"/>
    <x v="6"/>
    <x v="0"/>
    <n v="72355"/>
    <x v="6"/>
    <s v="Stanley Consultants"/>
    <n v="47210"/>
    <m/>
    <s v="2020/21"/>
    <s v="2020/21"/>
    <d v="2021-11-01T00:00:00"/>
    <d v="2023-08-31T00:00:00"/>
    <s v="2023/24"/>
    <d v="2023-06-01T00:00:00"/>
    <s v="Jesus"/>
    <s v="Dean"/>
    <s v="Keller"/>
    <s v="EDA"/>
    <s v="No"/>
    <n v="452460"/>
    <n v="644997.5"/>
    <m/>
    <m/>
    <n v="786308.31"/>
    <m/>
    <m/>
    <n v="499670"/>
    <n v="833518.31"/>
    <n v="-427315"/>
    <s v="Yes"/>
    <m/>
    <x v="1"/>
    <s v="Returned $21,446 to the fund"/>
    <n v="0"/>
  </r>
  <r>
    <x v="3"/>
    <n v="520"/>
    <x v="0"/>
    <x v="0"/>
    <x v="16"/>
    <x v="0"/>
    <x v="6"/>
    <x v="0"/>
    <n v="316392"/>
    <x v="6"/>
    <s v="Stanley Consultants"/>
    <n v="206860"/>
    <m/>
    <s v="2020/21"/>
    <s v="2020/21"/>
    <d v="2021-11-01T00:00:00"/>
    <d v="2023-06-01T00:00:00"/>
    <s v="2024/25"/>
    <d v="2023-06-01T00:00:00"/>
    <s v="Jesus"/>
    <s v="Dean"/>
    <s v="Keller"/>
    <s v="EDA"/>
    <s v="No"/>
    <n v="1250735.32"/>
    <n v="1389152.6"/>
    <m/>
    <m/>
    <n v="4461037.25"/>
    <n v="697193.13"/>
    <m/>
    <n v="2154788.4500000002"/>
    <n v="5365090.38"/>
    <n v="-1838396.4500000002"/>
    <s v="Yes"/>
    <n v="0"/>
    <x v="1"/>
    <s v="Contractor will take deduct on sags ($ and have agreed to crop damage amount.  Final deduction will be taken out of final payment when we release retainage.  $1.5M in EDA grant will be reimbursed to sanitary sewer fund.  Returned $237,133 to the fund."/>
    <n v="0"/>
  </r>
  <r>
    <x v="3"/>
    <n v="520"/>
    <x v="0"/>
    <x v="0"/>
    <x v="0"/>
    <x v="0"/>
    <x v="7"/>
    <x v="0"/>
    <n v="45000"/>
    <x v="7"/>
    <s v="WHKS"/>
    <n v="25728.696"/>
    <n v="25683.8836968"/>
    <s v="2020/21"/>
    <s v="2020/21"/>
    <d v="2022-04-01T00:00:00"/>
    <d v="2025-07-30T00:00:00"/>
    <s v="2025/26"/>
    <d v="2023-05-02T00:00:00"/>
    <s v="Scott M"/>
    <s v="Dean"/>
    <s v="Con-Struct"/>
    <s v="Yes"/>
    <s v="No"/>
    <n v="41300"/>
    <n v="45000"/>
    <m/>
    <m/>
    <n v="40000"/>
    <m/>
    <m/>
    <n v="67028.695999999996"/>
    <n v="65728.695999999996"/>
    <n v="-22028.695999999996"/>
    <s v="No"/>
    <n v="-498"/>
    <x v="0"/>
    <m/>
    <n v="0"/>
  </r>
  <r>
    <x v="3"/>
    <n v="560"/>
    <x v="1"/>
    <x v="1"/>
    <x v="17"/>
    <x v="9"/>
    <x v="7"/>
    <x v="0"/>
    <n v="255000"/>
    <x v="7"/>
    <s v="WHKS"/>
    <n v="10257.254000000001"/>
    <n v="10239.388688200001"/>
    <s v="2020/21"/>
    <s v="2021/22"/>
    <d v="2022-04-01T00:00:00"/>
    <d v="2025-07-30T00:00:00"/>
    <s v="2025/26"/>
    <d v="2023-05-02T00:00:00"/>
    <s v="Scott M"/>
    <s v="Dean"/>
    <s v="Con-Struct"/>
    <s v="Yes"/>
    <s v="No"/>
    <n v="261302.3"/>
    <n v="209292.9"/>
    <m/>
    <m/>
    <n v="164215"/>
    <m/>
    <m/>
    <n v="271559.554"/>
    <n v="174472.25400000002"/>
    <n v="-16559.554000000004"/>
    <s v="No"/>
    <n v="0"/>
    <x v="0"/>
    <m/>
    <n v="0"/>
  </r>
  <r>
    <x v="4"/>
    <n v="382"/>
    <x v="10"/>
    <x v="2"/>
    <x v="18"/>
    <x v="3"/>
    <x v="12"/>
    <x v="0"/>
    <n v="3100000"/>
    <x v="11"/>
    <s v="HR Green"/>
    <n v="233400"/>
    <n v="289415"/>
    <s v="2021/22"/>
    <s v="2021/22"/>
    <d v="2024-04-10T00:00:00"/>
    <d v="2025-01-15T00:00:00"/>
    <s v="2024/25"/>
    <d v="2025-01-31T00:00:00"/>
    <s v="Scott S"/>
    <s v="Dean"/>
    <s v="Con-Struct"/>
    <s v="Yes"/>
    <s v="Yes"/>
    <n v="2552314.23"/>
    <n v="2392583.23"/>
    <m/>
    <m/>
    <n v="2454270.63"/>
    <n v="140000"/>
    <m/>
    <n v="2925714.23"/>
    <n v="2827670.63"/>
    <n v="174285.77000000002"/>
    <s v="Yes"/>
    <n v="0"/>
    <x v="1"/>
    <m/>
    <n v="0"/>
  </r>
  <r>
    <x v="4"/>
    <n v="30"/>
    <x v="11"/>
    <x v="2"/>
    <x v="19"/>
    <x v="3"/>
    <x v="12"/>
    <x v="0"/>
    <n v="80000"/>
    <x v="11"/>
    <s v="HR Green"/>
    <n v="0"/>
    <n v="0"/>
    <s v="2021/22"/>
    <s v="2021/22"/>
    <d v="2024-04-10T00:00:00"/>
    <d v="2025-01-15T00:00:00"/>
    <s v="2024/25"/>
    <d v="2025-01-31T00:00:00"/>
    <s v="Scott S"/>
    <s v="Dean"/>
    <s v="Con-Struct"/>
    <s v="Yes"/>
    <s v="Yes"/>
    <n v="80000"/>
    <n v="80000"/>
    <m/>
    <m/>
    <n v="80000"/>
    <m/>
    <m/>
    <n v="80000"/>
    <n v="80000"/>
    <n v="0"/>
    <s v="Yes"/>
    <n v="0"/>
    <x v="1"/>
    <m/>
    <n v="1"/>
  </r>
  <r>
    <x v="4"/>
    <n v="510"/>
    <x v="5"/>
    <x v="3"/>
    <x v="8"/>
    <x v="5"/>
    <x v="13"/>
    <x v="0"/>
    <m/>
    <x v="12"/>
    <s v="Cesar"/>
    <n v="0"/>
    <n v="0"/>
    <s v="2022/23"/>
    <s v="2022/23"/>
    <d v="2023-04-01T00:00:00"/>
    <d v="2024-02-28T00:00:00"/>
    <s v="2023/24"/>
    <d v="2024-06-01T00:00:00"/>
    <s v="Scott M"/>
    <s v="Cesar"/>
    <s v="Synergy"/>
    <s v="No"/>
    <s v="No"/>
    <n v="2001096"/>
    <n v="2286813"/>
    <m/>
    <m/>
    <n v="2347765.5099999998"/>
    <m/>
    <m/>
    <n v="2001096"/>
    <n v="2347765.5099999998"/>
    <n v="-2001096"/>
    <s v="No"/>
    <m/>
    <x v="0"/>
    <m/>
    <n v="1"/>
  </r>
  <r>
    <x v="4"/>
    <n v="380"/>
    <x v="2"/>
    <x v="2"/>
    <x v="20"/>
    <x v="10"/>
    <x v="14"/>
    <x v="0"/>
    <m/>
    <x v="13"/>
    <s v="Shive Hattery"/>
    <m/>
    <m/>
    <s v="2021/22"/>
    <s v="2021/22"/>
    <d v="2022-08-01T00:00:00"/>
    <d v="2024-06-12T00:00:00"/>
    <s v="2023/24"/>
    <d v="2023-12-31T00:00:00"/>
    <s v="Jesus"/>
    <s v="Hafiz"/>
    <s v="Con-Struct"/>
    <s v="Yes"/>
    <s v="No"/>
    <n v="2312761.2999999998"/>
    <n v="2217358.6"/>
    <m/>
    <m/>
    <n v="3229306.66"/>
    <m/>
    <m/>
    <n v="2312761.2999999998"/>
    <n v="3229306.66"/>
    <n v="-2312761.2999999998"/>
    <s v="No"/>
    <m/>
    <x v="0"/>
    <m/>
    <n v="0"/>
  </r>
  <r>
    <x v="4"/>
    <n v="510"/>
    <x v="5"/>
    <x v="3"/>
    <x v="8"/>
    <x v="5"/>
    <x v="15"/>
    <x v="0"/>
    <n v="500000"/>
    <x v="14"/>
    <s v="Tracy"/>
    <n v="0"/>
    <n v="0"/>
    <s v="2022/23"/>
    <s v="2022/23"/>
    <d v="2022-07-01T00:00:00"/>
    <d v="2022-12-30T00:00:00"/>
    <s v="2022/23"/>
    <d v="2022-12-30T00:00:00"/>
    <s v="Jesus"/>
    <s v="Hafiz"/>
    <s v="Manatt's"/>
    <s v="No"/>
    <s v="No"/>
    <n v="425400"/>
    <n v="404802.2"/>
    <m/>
    <m/>
    <n v="388536.86"/>
    <m/>
    <m/>
    <n v="425400"/>
    <n v="388536.86"/>
    <n v="74600"/>
    <s v="No"/>
    <m/>
    <x v="0"/>
    <m/>
    <n v="0"/>
  </r>
  <r>
    <x v="4"/>
    <n v="320"/>
    <x v="7"/>
    <x v="2"/>
    <x v="21"/>
    <x v="3"/>
    <x v="12"/>
    <x v="0"/>
    <n v="1600000"/>
    <x v="11"/>
    <s v="HR Green"/>
    <n v="0"/>
    <m/>
    <s v="2021/22"/>
    <s v="2021/22"/>
    <d v="2024-04-10T00:00:00"/>
    <d v="2025-01-15T00:00:00"/>
    <s v="2024/25"/>
    <d v="2025-01-31T00:00:00"/>
    <s v="Scott S"/>
    <s v="Dean"/>
    <s v="Con-Struct"/>
    <s v="Yes"/>
    <s v="Yes"/>
    <n v="1600000"/>
    <n v="1600000"/>
    <m/>
    <m/>
    <n v="1600000"/>
    <m/>
    <m/>
    <n v="1600000"/>
    <n v="1600000"/>
    <n v="0"/>
    <s v="Yes"/>
    <n v="0"/>
    <x v="1"/>
    <m/>
    <n v="0"/>
  </r>
  <r>
    <x v="4"/>
    <n v="30"/>
    <x v="11"/>
    <x v="5"/>
    <x v="22"/>
    <x v="11"/>
    <x v="14"/>
    <x v="0"/>
    <m/>
    <x v="13"/>
    <s v="Shive Hattery"/>
    <m/>
    <m/>
    <s v="2021/22"/>
    <s v="2021/22"/>
    <d v="2022-08-01T00:00:00"/>
    <d v="2024-06-12T00:00:00"/>
    <s v="2023/24"/>
    <d v="2023-12-31T00:00:00"/>
    <s v="Jesus"/>
    <s v="Hafiz"/>
    <s v="Con-Struct"/>
    <s v="Yes"/>
    <s v="No"/>
    <n v="0"/>
    <n v="28600"/>
    <m/>
    <m/>
    <n v="28600"/>
    <m/>
    <m/>
    <n v="0"/>
    <n v="28600"/>
    <n v="0"/>
    <s v="No"/>
    <m/>
    <x v="0"/>
    <m/>
    <n v="0"/>
  </r>
  <r>
    <x v="4"/>
    <n v="320"/>
    <x v="7"/>
    <x v="2"/>
    <x v="23"/>
    <x v="10"/>
    <x v="14"/>
    <x v="0"/>
    <m/>
    <x v="13"/>
    <s v="Shive Hattery"/>
    <m/>
    <m/>
    <s v="2021/22"/>
    <s v="2021/22"/>
    <d v="2022-08-01T00:00:00"/>
    <d v="2024-06-12T00:00:00"/>
    <s v="2023/24"/>
    <d v="2023-12-31T00:00:00"/>
    <s v="Jesus"/>
    <s v="Hafiz"/>
    <s v="Con-Struct"/>
    <s v="Yes"/>
    <s v="No"/>
    <n v="414953"/>
    <n v="442450.6"/>
    <m/>
    <m/>
    <n v="188372.75"/>
    <m/>
    <m/>
    <n v="414953"/>
    <n v="188372.75"/>
    <n v="-414953"/>
    <s v="No"/>
    <m/>
    <x v="0"/>
    <m/>
    <n v="1"/>
  </r>
  <r>
    <x v="4"/>
    <n v="510"/>
    <x v="5"/>
    <x v="3"/>
    <x v="8"/>
    <x v="5"/>
    <x v="14"/>
    <x v="0"/>
    <m/>
    <x v="13"/>
    <s v="Shive Hattery"/>
    <m/>
    <m/>
    <s v="2021/22"/>
    <s v="2021/22"/>
    <d v="2022-08-01T00:00:00"/>
    <d v="2024-06-12T00:00:00"/>
    <s v="2023/24"/>
    <d v="2023-12-31T00:00:00"/>
    <s v="Jesus"/>
    <s v="Hafiz"/>
    <s v="Con-Struct"/>
    <s v="Yes"/>
    <s v="No"/>
    <n v="114000"/>
    <n v="166240"/>
    <m/>
    <m/>
    <n v="165000"/>
    <m/>
    <m/>
    <n v="114000"/>
    <n v="165000"/>
    <n v="-114000"/>
    <s v="No"/>
    <m/>
    <x v="0"/>
    <m/>
    <n v="0"/>
  </r>
  <r>
    <x v="4"/>
    <n v="510"/>
    <x v="5"/>
    <x v="3"/>
    <x v="8"/>
    <x v="5"/>
    <x v="16"/>
    <x v="0"/>
    <m/>
    <x v="12"/>
    <s v="Cesar"/>
    <n v="0"/>
    <n v="0"/>
    <s v="2022/23"/>
    <s v="2022/23"/>
    <d v="2023-04-01T00:00:00"/>
    <d v="2024-02-28T00:00:00"/>
    <s v="2023/24"/>
    <d v="2023-12-31T00:00:00"/>
    <s v="Scott Miller"/>
    <s v="Cesar"/>
    <s v="Synergy"/>
    <s v="No"/>
    <s v="No"/>
    <n v="2001096"/>
    <n v="2286813.7999999998"/>
    <m/>
    <m/>
    <n v="2347765.5099999998"/>
    <m/>
    <m/>
    <n v="2001096"/>
    <n v="2347765.5099999998"/>
    <n v="-2001096"/>
    <s v="No"/>
    <n v="0"/>
    <x v="0"/>
    <m/>
    <n v="1"/>
  </r>
  <r>
    <x v="4"/>
    <n v="382"/>
    <x v="10"/>
    <x v="2"/>
    <x v="24"/>
    <x v="12"/>
    <x v="15"/>
    <x v="0"/>
    <n v="750000"/>
    <x v="14"/>
    <s v="Tracy"/>
    <n v="0"/>
    <n v="0"/>
    <s v="2021/22"/>
    <s v="2021/22"/>
    <d v="2022-07-01T00:00:00"/>
    <d v="2022-12-30T00:00:00"/>
    <s v="2022/23"/>
    <d v="2022-12-30T00:00:00"/>
    <s v="Jesus"/>
    <s v="Hafiz"/>
    <s v="Manatt's"/>
    <s v="No"/>
    <s v="No"/>
    <n v="600922.5"/>
    <n v="585982.93999999994"/>
    <m/>
    <m/>
    <n v="591963.48"/>
    <m/>
    <m/>
    <n v="600922.5"/>
    <n v="591963.48"/>
    <n v="149077.5"/>
    <s v="No"/>
    <m/>
    <x v="0"/>
    <m/>
    <n v="1"/>
  </r>
  <r>
    <x v="4"/>
    <n v="382"/>
    <x v="10"/>
    <x v="2"/>
    <x v="25"/>
    <x v="7"/>
    <x v="17"/>
    <x v="0"/>
    <m/>
    <x v="15"/>
    <s v="Dean"/>
    <n v="0"/>
    <n v="0"/>
    <s v="2021/22"/>
    <s v="2021/22"/>
    <d v="2022-07-01T00:00:00"/>
    <d v="2023-10-03T00:00:00"/>
    <s v="2023/24"/>
    <d v="2023-12-31T00:00:00"/>
    <s v="Jesus"/>
    <s v="Dean"/>
    <s v="Manatt's"/>
    <s v="No"/>
    <s v="No"/>
    <n v="1916748.1800000002"/>
    <n v="2057300.4300000002"/>
    <m/>
    <m/>
    <n v="2163578.36"/>
    <m/>
    <m/>
    <n v="1916748.1800000002"/>
    <n v="2163578.36"/>
    <n v="-1916748.1800000002"/>
    <s v="No"/>
    <m/>
    <x v="0"/>
    <m/>
    <n v="0"/>
  </r>
  <r>
    <x v="4"/>
    <n v="320"/>
    <x v="7"/>
    <x v="2"/>
    <x v="26"/>
    <x v="6"/>
    <x v="18"/>
    <x v="0"/>
    <m/>
    <x v="16"/>
    <s v="MSA"/>
    <n v="51682.740750000004"/>
    <n v="51682.740750000004"/>
    <s v="2021/22"/>
    <s v="2021/22"/>
    <d v="2022-07-01T00:00:00"/>
    <d v="2023-04-17T00:00:00"/>
    <s v="2022/23"/>
    <d v="2022-12-31T00:00:00"/>
    <s v="Jared"/>
    <s v="Hafiz"/>
    <s v="Con-Struct"/>
    <s v="Yes"/>
    <s v="No"/>
    <n v="755850.48259699997"/>
    <n v="899999.37711480015"/>
    <m/>
    <m/>
    <n v="898661.50997860008"/>
    <m/>
    <m/>
    <n v="807533.22334699996"/>
    <n v="950344.25072860008"/>
    <n v="-807533.22334699996"/>
    <s v="No"/>
    <m/>
    <x v="0"/>
    <m/>
    <n v="1"/>
  </r>
  <r>
    <x v="4"/>
    <n v="382"/>
    <x v="10"/>
    <x v="2"/>
    <x v="27"/>
    <x v="6"/>
    <x v="18"/>
    <x v="0"/>
    <m/>
    <x v="16"/>
    <s v="MSA"/>
    <n v="30442.259249999999"/>
    <n v="30442.259249999999"/>
    <s v="2021/22"/>
    <s v="2021/22"/>
    <d v="2022-07-01T00:00:00"/>
    <d v="2023-04-17T00:00:00"/>
    <s v="2022/23"/>
    <d v="2022-12-31T00:00:00"/>
    <s v="Jared"/>
    <s v="Hafiz"/>
    <s v="Con-Struct"/>
    <s v="Yes"/>
    <s v="No"/>
    <n v="446451.81023300003"/>
    <n v="530119.22288520006"/>
    <m/>
    <m/>
    <n v="529331.19002139999"/>
    <m/>
    <m/>
    <n v="476894.06948300003"/>
    <n v="559773.44927139999"/>
    <n v="-476894.06948300003"/>
    <s v="No"/>
    <m/>
    <x v="0"/>
    <m/>
    <n v="0"/>
  </r>
  <r>
    <x v="4"/>
    <n v="382"/>
    <x v="10"/>
    <x v="2"/>
    <x v="28"/>
    <x v="13"/>
    <x v="19"/>
    <x v="0"/>
    <n v="245000"/>
    <x v="17"/>
    <s v="Dean"/>
    <n v="0"/>
    <n v="0"/>
    <s v="2021/22"/>
    <s v="2021/22"/>
    <d v="2022-08-01T00:00:00"/>
    <d v="2022-10-18T00:00:00"/>
    <s v="2022/23"/>
    <d v="2022-12-31T00:00:00"/>
    <s v="Scott S"/>
    <s v="Dean"/>
    <s v="Con-Struct"/>
    <s v="No"/>
    <s v="No"/>
    <n v="134136.25"/>
    <n v="127952"/>
    <m/>
    <m/>
    <n v="128224.62"/>
    <m/>
    <m/>
    <n v="134136.25"/>
    <n v="128224.62"/>
    <n v="110863.75"/>
    <s v="No"/>
    <m/>
    <x v="0"/>
    <m/>
    <n v="1"/>
  </r>
  <r>
    <x v="4"/>
    <n v="510"/>
    <x v="5"/>
    <x v="3"/>
    <x v="29"/>
    <x v="5"/>
    <x v="20"/>
    <x v="0"/>
    <n v="75000"/>
    <x v="18"/>
    <s v="Dean"/>
    <n v="0"/>
    <n v="0"/>
    <s v="2021/22"/>
    <s v="2021/22"/>
    <d v="2022-09-01T00:00:00"/>
    <d v="2022-12-31T00:00:00"/>
    <s v="2022/23"/>
    <d v="2022-12-31T00:00:00"/>
    <s v="Jared"/>
    <s v="Dean"/>
    <s v="All Star Concrete"/>
    <s v="No"/>
    <s v="No"/>
    <n v="70690"/>
    <n v="74258"/>
    <m/>
    <m/>
    <n v="83085.5"/>
    <m/>
    <m/>
    <n v="70690"/>
    <n v="83085.5"/>
    <n v="4310"/>
    <s v="No"/>
    <m/>
    <x v="0"/>
    <m/>
    <n v="1"/>
  </r>
  <r>
    <x v="4"/>
    <n v="382"/>
    <x v="10"/>
    <x v="2"/>
    <x v="30"/>
    <x v="14"/>
    <x v="21"/>
    <x v="0"/>
    <m/>
    <x v="19"/>
    <s v="Tracy"/>
    <n v="0"/>
    <n v="0"/>
    <s v="2021/22"/>
    <s v="2021/22"/>
    <d v="2022-04-18T00:00:00"/>
    <d v="2022-11-18T00:00:00"/>
    <s v="2022/23"/>
    <d v="2022-12-31T00:00:00"/>
    <s v="Scott S"/>
    <s v="Hafiz"/>
    <s v="Manatt's"/>
    <s v="No"/>
    <s v="No"/>
    <n v="1900297.52"/>
    <n v="2118380.02"/>
    <m/>
    <m/>
    <n v="1989436.7073125744"/>
    <m/>
    <m/>
    <n v="1900297.52"/>
    <n v="1989436.7073125744"/>
    <n v="-1900297.52"/>
    <s v="No"/>
    <m/>
    <x v="0"/>
    <m/>
    <n v="0"/>
  </r>
  <r>
    <x v="4"/>
    <n v="382"/>
    <x v="10"/>
    <x v="2"/>
    <x v="18"/>
    <x v="3"/>
    <x v="20"/>
    <x v="0"/>
    <n v="900000"/>
    <x v="18"/>
    <s v="Dean"/>
    <n v="0"/>
    <n v="0"/>
    <s v="2021/22"/>
    <s v="2021/22"/>
    <d v="2022-09-01T00:00:00"/>
    <d v="2022-12-31T00:00:00"/>
    <s v="2022/23"/>
    <d v="2022-12-31T00:00:00"/>
    <s v="Jared"/>
    <s v="Dean"/>
    <s v="All Star Concrete"/>
    <s v="No"/>
    <s v="No"/>
    <n v="622216.41"/>
    <n v="872793"/>
    <m/>
    <m/>
    <n v="776510.98"/>
    <m/>
    <m/>
    <n v="622216.41"/>
    <n v="776510.98"/>
    <n v="277783.58999999997"/>
    <s v="No"/>
    <m/>
    <x v="0"/>
    <m/>
    <n v="0"/>
  </r>
  <r>
    <x v="4"/>
    <n v="30"/>
    <x v="11"/>
    <x v="2"/>
    <x v="31"/>
    <x v="14"/>
    <x v="21"/>
    <x v="0"/>
    <m/>
    <x v="19"/>
    <s v="Tracy"/>
    <n v="0"/>
    <n v="0"/>
    <s v="2021/22"/>
    <s v="2021/22"/>
    <d v="2022-04-18T00:00:00"/>
    <d v="2022-11-18T00:00:00"/>
    <s v="2022/23"/>
    <d v="2022-12-31T00:00:00"/>
    <s v="Scott S"/>
    <s v="Hafiz"/>
    <s v="Manatt's"/>
    <s v="No"/>
    <s v="No"/>
    <n v="15000"/>
    <n v="15000"/>
    <m/>
    <m/>
    <n v="15000"/>
    <m/>
    <m/>
    <n v="15000"/>
    <n v="15000"/>
    <n v="-15000"/>
    <s v="No"/>
    <m/>
    <x v="0"/>
    <m/>
    <n v="1"/>
  </r>
  <r>
    <x v="4"/>
    <n v="560"/>
    <x v="1"/>
    <x v="1"/>
    <x v="32"/>
    <x v="15"/>
    <x v="12"/>
    <x v="0"/>
    <n v="100000"/>
    <x v="11"/>
    <s v="HR Green"/>
    <m/>
    <m/>
    <s v="2021/22"/>
    <s v="2021/22"/>
    <d v="2024-04-10T00:00:00"/>
    <d v="2025-01-15T00:00:00"/>
    <s v="2024/25"/>
    <d v="2025-01-31T00:00:00"/>
    <s v="Scott S"/>
    <s v="Dean"/>
    <s v="Con-Struct"/>
    <s v="Yes"/>
    <s v="Yes"/>
    <n v="100000"/>
    <m/>
    <m/>
    <m/>
    <m/>
    <m/>
    <m/>
    <n v="100000"/>
    <n v="0"/>
    <n v="0"/>
    <s v="Yes"/>
    <n v="73360"/>
    <x v="1"/>
    <m/>
    <n v="0"/>
  </r>
  <r>
    <x v="4"/>
    <n v="520"/>
    <x v="0"/>
    <x v="0"/>
    <x v="0"/>
    <x v="0"/>
    <x v="15"/>
    <x v="0"/>
    <n v="10000"/>
    <x v="14"/>
    <s v="Tracy"/>
    <n v="0"/>
    <n v="0"/>
    <s v="2022/23"/>
    <s v="2022/23"/>
    <d v="2022-07-01T00:00:00"/>
    <d v="2022-12-30T00:00:00"/>
    <s v="2022/23"/>
    <d v="2022-12-30T00:00:00"/>
    <s v="Jesus"/>
    <s v="Hafiz"/>
    <s v="Manatt's"/>
    <s v="No"/>
    <s v="No"/>
    <n v="0"/>
    <n v="0"/>
    <m/>
    <m/>
    <n v="8489.7999999999993"/>
    <m/>
    <m/>
    <n v="0"/>
    <n v="8489.7999999999993"/>
    <n v="10000"/>
    <s v="No"/>
    <m/>
    <x v="0"/>
    <m/>
    <n v="0"/>
  </r>
  <r>
    <x v="4"/>
    <n v="560"/>
    <x v="1"/>
    <x v="1"/>
    <x v="33"/>
    <x v="9"/>
    <x v="17"/>
    <x v="0"/>
    <m/>
    <x v="15"/>
    <s v="Dean"/>
    <n v="0"/>
    <n v="0"/>
    <s v="2021/22"/>
    <s v="2021/22"/>
    <d v="2022-07-01T00:00:00"/>
    <d v="2023-10-03T00:00:00"/>
    <s v="2023/24"/>
    <d v="2023-12-31T00:00:00"/>
    <s v="Jesus"/>
    <s v="Dean"/>
    <s v="Manatt's"/>
    <s v="No"/>
    <s v="No"/>
    <n v="121486"/>
    <n v="128187.15"/>
    <m/>
    <m/>
    <n v="133556.85"/>
    <m/>
    <m/>
    <n v="121486"/>
    <n v="133556.85"/>
    <n v="-121486"/>
    <s v="No"/>
    <n v="0"/>
    <x v="0"/>
    <m/>
    <n v="1"/>
  </r>
  <r>
    <x v="4"/>
    <n v="560"/>
    <x v="1"/>
    <x v="1"/>
    <x v="34"/>
    <x v="16"/>
    <x v="22"/>
    <x v="3"/>
    <n v="130091"/>
    <x v="20"/>
    <s v="CGA"/>
    <n v="25200"/>
    <n v="24908.3"/>
    <s v="2023/24"/>
    <s v="2023/24"/>
    <d v="2024-10-01T00:00:00"/>
    <m/>
    <s v="2024/25"/>
    <d v="2024-12-01T00:00:00"/>
    <s v="Jake"/>
    <s v="Hafiz"/>
    <s v="Tallgrass Land Stewardship Co."/>
    <s v="No"/>
    <s v="No"/>
    <n v="84980"/>
    <n v="111600"/>
    <n v="4650"/>
    <n v="35000"/>
    <m/>
    <n v="35000"/>
    <m/>
    <n v="145180"/>
    <n v="60200"/>
    <n v="-50089"/>
    <s v="No"/>
    <n v="2380"/>
    <x v="0"/>
    <s v="Contractor is to be done by 8/31/2025 or Liquidated damages will begin."/>
    <n v="1"/>
  </r>
  <r>
    <x v="4"/>
    <n v="560"/>
    <x v="1"/>
    <x v="1"/>
    <x v="35"/>
    <x v="1"/>
    <x v="23"/>
    <x v="0"/>
    <n v="350000"/>
    <x v="21"/>
    <s v="Bolton &amp; Menk"/>
    <n v="52000"/>
    <n v="52000"/>
    <s v="2023/24"/>
    <s v="2021/22"/>
    <d v="2024-05-01T00:00:00"/>
    <d v="2024-12-01T00:00:00"/>
    <s v="2023/24"/>
    <d v="2024-12-31T00:00:00"/>
    <s v="Jake"/>
    <s v="Liz"/>
    <s v="Con-Struct"/>
    <s v="No"/>
    <s v="No"/>
    <n v="271910"/>
    <n v="206340"/>
    <m/>
    <m/>
    <n v="176305.2"/>
    <n v="20000"/>
    <m/>
    <n v="343910"/>
    <n v="248305.2"/>
    <n v="6090"/>
    <s v="No"/>
    <n v="0"/>
    <x v="0"/>
    <s v="Returned $151,541 to fund"/>
    <n v="1"/>
  </r>
  <r>
    <x v="4"/>
    <n v="520"/>
    <x v="0"/>
    <x v="0"/>
    <x v="36"/>
    <x v="0"/>
    <x v="20"/>
    <x v="0"/>
    <n v="65000"/>
    <x v="18"/>
    <s v="Dean"/>
    <n v="0"/>
    <n v="0"/>
    <s v="2021/22"/>
    <s v="2021/22"/>
    <d v="2022-09-01T00:00:00"/>
    <d v="2022-12-31T00:00:00"/>
    <s v="2022/23"/>
    <d v="2022-12-31T00:00:00"/>
    <s v="Jared"/>
    <s v="Dean"/>
    <s v="All Star Concrete"/>
    <s v="No"/>
    <s v="No"/>
    <n v="64335"/>
    <n v="48727.8"/>
    <m/>
    <m/>
    <n v="14445"/>
    <m/>
    <m/>
    <n v="64335"/>
    <n v="14445"/>
    <n v="665"/>
    <s v="No"/>
    <m/>
    <x v="0"/>
    <m/>
    <n v="0"/>
  </r>
  <r>
    <x v="4"/>
    <n v="560"/>
    <x v="1"/>
    <x v="1"/>
    <x v="17"/>
    <x v="9"/>
    <x v="12"/>
    <x v="0"/>
    <n v="200000"/>
    <x v="11"/>
    <s v="HR Green"/>
    <n v="0"/>
    <n v="0"/>
    <s v="2021/22"/>
    <s v="2021/22"/>
    <d v="2024-04-10T00:00:00"/>
    <d v="2025-01-15T00:00:00"/>
    <s v="2024/25"/>
    <d v="2025-01-31T00:00:00"/>
    <s v="Scott S"/>
    <s v="Dean"/>
    <s v="Con-Struct"/>
    <s v="Yes"/>
    <s v="Yes"/>
    <n v="100000"/>
    <n v="179731"/>
    <m/>
    <m/>
    <n v="120270.2"/>
    <m/>
    <m/>
    <n v="100000"/>
    <n v="120270.2"/>
    <n v="100000"/>
    <s v="Yes"/>
    <n v="0"/>
    <x v="1"/>
    <m/>
    <n v="0"/>
  </r>
  <r>
    <x v="4"/>
    <n v="560"/>
    <x v="1"/>
    <x v="1"/>
    <x v="17"/>
    <x v="9"/>
    <x v="14"/>
    <x v="0"/>
    <m/>
    <x v="13"/>
    <s v="Shive Hattery"/>
    <m/>
    <m/>
    <s v="2021/22"/>
    <s v="2021/22"/>
    <d v="2022-08-01T00:00:00"/>
    <d v="2024-06-12T00:00:00"/>
    <s v="2023/24"/>
    <d v="2023-12-31T00:00:00"/>
    <s v="Jesus"/>
    <s v="Hafiz"/>
    <s v="Con-Struct"/>
    <s v="Yes"/>
    <s v="No"/>
    <n v="1028681.5"/>
    <n v="1259781.6000000001"/>
    <m/>
    <m/>
    <n v="200000"/>
    <m/>
    <m/>
    <n v="1028681.5"/>
    <n v="200000"/>
    <n v="-1028681.5"/>
    <s v="No"/>
    <n v="0"/>
    <x v="0"/>
    <m/>
    <n v="0"/>
  </r>
  <r>
    <x v="4"/>
    <n v="522"/>
    <x v="12"/>
    <x v="0"/>
    <x v="37"/>
    <x v="0"/>
    <x v="24"/>
    <x v="4"/>
    <n v="1158946"/>
    <x v="1"/>
    <s v="WHKS"/>
    <n v="191000"/>
    <n v="90908.15"/>
    <s v="2024/25"/>
    <s v="2024/25"/>
    <m/>
    <m/>
    <s v="2025/26"/>
    <d v="2025-12-31T00:00:00"/>
    <s v="WHKS"/>
    <s v="Hafiz"/>
    <m/>
    <s v="No"/>
    <s v="No"/>
    <m/>
    <m/>
    <m/>
    <m/>
    <m/>
    <m/>
    <m/>
    <n v="191000"/>
    <n v="191000"/>
    <n v="967946"/>
    <s v="No"/>
    <m/>
    <x v="0"/>
    <s v="This project has been designed but not yet bid.  Neighborhood has not been supportive.  Moved $1,038,762 to East Lincoln Way/Nikkol project"/>
    <n v="1"/>
  </r>
  <r>
    <x v="4"/>
    <n v="522"/>
    <x v="12"/>
    <x v="0"/>
    <x v="38"/>
    <x v="0"/>
    <x v="25"/>
    <x v="0"/>
    <n v="3922000"/>
    <x v="22"/>
    <s v="WHKS"/>
    <n v="251000"/>
    <n v="162169.03999999998"/>
    <s v="2022/23"/>
    <s v="2022/23"/>
    <d v="2023-10-01T00:00:00"/>
    <d v="2024-12-31T00:00:00"/>
    <s v="2024/25"/>
    <d v="2024-06-01T00:00:00"/>
    <s v="WHKS"/>
    <s v="Hafiz"/>
    <s v="Municipal Tool"/>
    <s v="No"/>
    <s v="No"/>
    <n v="2140000"/>
    <n v="3791558.69"/>
    <m/>
    <m/>
    <n v="3472507.52"/>
    <n v="37830.960000000021"/>
    <m/>
    <n v="2428830.96"/>
    <n v="3761338.48"/>
    <n v="1493169.04"/>
    <s v="No"/>
    <n v="0"/>
    <x v="0"/>
    <s v="Moved $416,961 to ELW/Nikkol project"/>
    <n v="1"/>
  </r>
  <r>
    <x v="5"/>
    <n v="122"/>
    <x v="4"/>
    <x v="0"/>
    <x v="39"/>
    <x v="17"/>
    <x v="26"/>
    <x v="0"/>
    <n v="336319.5"/>
    <x v="14"/>
    <s v="Bolton &amp; Menk"/>
    <m/>
    <m/>
    <s v="2022/23"/>
    <s v="2022/23"/>
    <d v="2023-03-01T00:00:00"/>
    <d v="2024-12-17T00:00:00"/>
    <s v="2023/24"/>
    <s v="2023/24"/>
    <s v="Jesus"/>
    <s v="Cesar"/>
    <s v="Rognes Corp"/>
    <s v="No"/>
    <s v="No"/>
    <n v="274287.24"/>
    <n v="338776.01999999996"/>
    <m/>
    <m/>
    <n v="336319.5"/>
    <m/>
    <m/>
    <n v="274287.24"/>
    <n v="336319.5"/>
    <n v="62032.260000000009"/>
    <s v="No"/>
    <n v="0"/>
    <x v="0"/>
    <m/>
    <n v="0"/>
  </r>
  <r>
    <x v="5"/>
    <n v="510"/>
    <x v="5"/>
    <x v="3"/>
    <x v="8"/>
    <x v="5"/>
    <x v="27"/>
    <x v="0"/>
    <n v="450000"/>
    <x v="23"/>
    <s v="WHKS"/>
    <n v="0"/>
    <n v="0"/>
    <s v="2022/23"/>
    <s v="2022/23"/>
    <d v="2023-04-25T00:00:00"/>
    <m/>
    <s v="2025/26"/>
    <d v="2024-12-31T00:00:00"/>
    <s v="Jared"/>
    <s v="Hafiz"/>
    <s v="Shekar "/>
    <s v="No"/>
    <s v="No"/>
    <n v="648270"/>
    <n v="450000"/>
    <m/>
    <m/>
    <n v="304719.63"/>
    <m/>
    <m/>
    <n v="648270"/>
    <n v="304719.63"/>
    <n v="-198270"/>
    <s v="No"/>
    <m/>
    <x v="0"/>
    <m/>
    <n v="0"/>
  </r>
  <r>
    <x v="5"/>
    <n v="383"/>
    <x v="13"/>
    <x v="2"/>
    <x v="40"/>
    <x v="18"/>
    <x v="27"/>
    <x v="0"/>
    <n v="3600000"/>
    <x v="23"/>
    <s v="WHKS"/>
    <n v="312400"/>
    <n v="312400"/>
    <s v="2022/23"/>
    <s v="2022/23"/>
    <d v="2023-04-25T00:00:00"/>
    <m/>
    <s v="2025/26"/>
    <d v="2024-12-31T00:00:00"/>
    <s v="Jared"/>
    <s v="Hafiz"/>
    <s v="Shekar "/>
    <s v="No"/>
    <s v="No"/>
    <n v="2466848.75"/>
    <n v="2753260.58"/>
    <m/>
    <m/>
    <n v="2162800.5"/>
    <n v="200000"/>
    <n v="200000"/>
    <n v="2979248.75"/>
    <n v="2675200.5"/>
    <n v="620751.25"/>
    <s v="No"/>
    <n v="266727"/>
    <x v="0"/>
    <m/>
    <n v="0"/>
  </r>
  <r>
    <x v="5"/>
    <n v="383"/>
    <x v="13"/>
    <x v="6"/>
    <x v="41"/>
    <x v="18"/>
    <x v="27"/>
    <x v="0"/>
    <n v="400000"/>
    <x v="23"/>
    <s v="WHKS"/>
    <n v="0"/>
    <n v="0"/>
    <s v="2022/23"/>
    <s v="2022/23"/>
    <d v="2023-04-25T00:00:00"/>
    <m/>
    <s v="2025/26"/>
    <d v="2024-12-31T00:00:00"/>
    <s v="Jared"/>
    <s v="Hafiz"/>
    <s v="Shekar "/>
    <s v="No"/>
    <s v="No"/>
    <n v="400000"/>
    <n v="400000"/>
    <m/>
    <m/>
    <n v="400000"/>
    <n v="0"/>
    <m/>
    <n v="400000"/>
    <n v="400000"/>
    <n v="0"/>
    <s v="No"/>
    <n v="-6978"/>
    <x v="0"/>
    <s v="Looks like this is the '22/23 and the '23/24 CIP alleys but only half the $$ was used in the project."/>
    <n v="0"/>
  </r>
  <r>
    <x v="5"/>
    <n v="30"/>
    <x v="11"/>
    <x v="5"/>
    <x v="42"/>
    <x v="14"/>
    <x v="28"/>
    <x v="0"/>
    <n v="32000"/>
    <x v="24"/>
    <s v="WHKS"/>
    <n v="0"/>
    <n v="0"/>
    <s v="2022/23"/>
    <s v="2023/24"/>
    <d v="2024-07-06T00:00:00"/>
    <d v="2024-08-01T00:00:00"/>
    <s v="2024/25"/>
    <d v="2024-07-01T00:00:00"/>
    <s v="Jesus"/>
    <s v="Dean"/>
    <s v="Con-Struct"/>
    <s v="No"/>
    <s v="No"/>
    <n v="33913.421405115798"/>
    <n v="30522.079264604217"/>
    <m/>
    <m/>
    <n v="33094.373779381269"/>
    <m/>
    <m/>
    <n v="33913.421405115798"/>
    <n v="33094.373779381269"/>
    <n v="-1913.4214051157978"/>
    <s v="No"/>
    <m/>
    <x v="0"/>
    <m/>
    <n v="0"/>
  </r>
  <r>
    <x v="5"/>
    <n v="60"/>
    <x v="8"/>
    <x v="2"/>
    <x v="43"/>
    <x v="14"/>
    <x v="28"/>
    <x v="0"/>
    <n v="38000"/>
    <x v="24"/>
    <s v="WHKS"/>
    <n v="0"/>
    <n v="0"/>
    <s v="2022/23"/>
    <s v="2023/24"/>
    <d v="2024-07-06T00:00:00"/>
    <d v="2024-08-01T00:00:00"/>
    <s v="2024/25"/>
    <d v="2024-07-01T00:00:00"/>
    <s v="Jesus"/>
    <s v="Dean"/>
    <s v="Con-Struct"/>
    <s v="No"/>
    <s v="No"/>
    <n v="39861.578594884202"/>
    <n v="35875.420735395783"/>
    <m/>
    <m/>
    <n v="38898.876220618738"/>
    <m/>
    <m/>
    <n v="39861.578594884202"/>
    <n v="38898.876220618738"/>
    <n v="-1861.5785948842022"/>
    <s v="No"/>
    <m/>
    <x v="0"/>
    <m/>
    <n v="0"/>
  </r>
  <r>
    <x v="5"/>
    <n v="510"/>
    <x v="5"/>
    <x v="3"/>
    <x v="8"/>
    <x v="5"/>
    <x v="28"/>
    <x v="0"/>
    <m/>
    <x v="24"/>
    <s v="WHKS"/>
    <n v="0"/>
    <n v="0"/>
    <s v="2022/23"/>
    <s v="2023/24"/>
    <d v="2024-07-06T00:00:00"/>
    <d v="2024-08-01T00:00:00"/>
    <s v="2024/25"/>
    <d v="2024-07-01T00:00:00"/>
    <s v="Jesus"/>
    <s v="Dean"/>
    <s v="Con-Struct"/>
    <s v="No"/>
    <s v="No"/>
    <n v="0"/>
    <n v="0"/>
    <m/>
    <m/>
    <n v="27090"/>
    <m/>
    <m/>
    <n v="0"/>
    <n v="27090"/>
    <n v="0"/>
    <s v="No"/>
    <m/>
    <x v="0"/>
    <m/>
    <n v="0"/>
  </r>
  <r>
    <x v="5"/>
    <n v="60"/>
    <x v="8"/>
    <x v="2"/>
    <x v="44"/>
    <x v="19"/>
    <x v="29"/>
    <x v="0"/>
    <n v="300000"/>
    <x v="25"/>
    <s v="Hafiz"/>
    <n v="0"/>
    <n v="0"/>
    <s v="2021/22"/>
    <s v="2022/23"/>
    <d v="2023-05-01T00:00:00"/>
    <d v="2024-01-10T00:00:00"/>
    <s v="2023/24"/>
    <d v="2024-01-31T00:00:00"/>
    <s v="Jared"/>
    <s v="Hafiz"/>
    <s v="Manatt's"/>
    <s v="No"/>
    <s v="No"/>
    <n v="300000"/>
    <n v="300000"/>
    <m/>
    <m/>
    <n v="300000"/>
    <m/>
    <m/>
    <n v="300000"/>
    <n v="300000"/>
    <n v="0"/>
    <s v="No"/>
    <m/>
    <x v="0"/>
    <m/>
    <n v="1"/>
  </r>
  <r>
    <x v="5"/>
    <n v="384"/>
    <x v="14"/>
    <x v="2"/>
    <x v="45"/>
    <x v="18"/>
    <x v="27"/>
    <x v="0"/>
    <n v="400000"/>
    <x v="23"/>
    <s v="WHKS"/>
    <n v="0"/>
    <n v="0"/>
    <s v="2022/23"/>
    <s v="2022/23"/>
    <d v="2023-04-25T00:00:00"/>
    <m/>
    <s v="2025/26"/>
    <d v="2024-12-31T00:00:00"/>
    <s v="Jared"/>
    <s v="Hafiz"/>
    <s v="Shekar "/>
    <s v="No"/>
    <s v="No"/>
    <n v="400000"/>
    <n v="400000"/>
    <m/>
    <m/>
    <n v="400000"/>
    <m/>
    <m/>
    <n v="400000"/>
    <n v="400000"/>
    <n v="0"/>
    <s v="No"/>
    <n v="-6978"/>
    <x v="0"/>
    <m/>
    <n v="0"/>
  </r>
  <r>
    <x v="5"/>
    <n v="510"/>
    <x v="5"/>
    <x v="2"/>
    <x v="46"/>
    <x v="20"/>
    <x v="27"/>
    <x v="0"/>
    <m/>
    <x v="26"/>
    <m/>
    <n v="0"/>
    <n v="0"/>
    <s v="2022/23"/>
    <s v="2022/23"/>
    <d v="2023-04-25T00:00:00"/>
    <m/>
    <s v="2025/26"/>
    <d v="2024-12-31T00:00:00"/>
    <s v="Jake"/>
    <s v="Hafiz"/>
    <s v="Country Landscapes"/>
    <s v="No"/>
    <s v="No"/>
    <m/>
    <m/>
    <m/>
    <m/>
    <n v="4681.4290000000001"/>
    <n v="32895.599999999999"/>
    <n v="32895.599999999999"/>
    <n v="32895.599999999999"/>
    <n v="37577.028999999995"/>
    <n v="-32895.599999999999"/>
    <m/>
    <n v="328956"/>
    <x v="0"/>
    <m/>
    <n v="1"/>
  </r>
  <r>
    <x v="5"/>
    <n v="320"/>
    <x v="7"/>
    <x v="2"/>
    <x v="47"/>
    <x v="21"/>
    <x v="30"/>
    <x v="0"/>
    <n v="1686000"/>
    <x v="27"/>
    <s v="WHKS"/>
    <n v="0"/>
    <n v="0"/>
    <s v="2023/24"/>
    <s v="2023/24"/>
    <d v="2024-03-01T00:00:00"/>
    <d v="2025-01-15T00:00:00"/>
    <s v="2024/25"/>
    <d v="2025-01-31T00:00:00"/>
    <s v="Jesus"/>
    <s v="Dean"/>
    <s v="Con-Struct"/>
    <s v="Yes"/>
    <s v="No"/>
    <n v="1930068.29"/>
    <n v="1686000"/>
    <m/>
    <m/>
    <n v="1686000"/>
    <m/>
    <m/>
    <n v="1930068.29"/>
    <n v="1686000"/>
    <n v="-244068.29000000004"/>
    <s v="No"/>
    <n v="0"/>
    <x v="0"/>
    <s v="Iowa DOT Audit"/>
    <n v="0"/>
  </r>
  <r>
    <x v="5"/>
    <n v="383"/>
    <x v="13"/>
    <x v="2"/>
    <x v="48"/>
    <x v="14"/>
    <x v="28"/>
    <x v="0"/>
    <n v="2000000"/>
    <x v="24"/>
    <s v="WHKS"/>
    <n v="122800"/>
    <n v="122800"/>
    <s v="2022/23"/>
    <s v="2023/24"/>
    <d v="2024-07-06T00:00:00"/>
    <d v="2024-08-01T00:00:00"/>
    <s v="2024/25"/>
    <d v="2024-07-01T00:00:00"/>
    <s v="Jesus"/>
    <s v="Dean"/>
    <s v="Con-Struct"/>
    <s v="No"/>
    <s v="No"/>
    <n v="1688576.9"/>
    <n v="1772978.4"/>
    <m/>
    <m/>
    <n v="1772902.27"/>
    <n v="0"/>
    <n v="0"/>
    <n v="1811376.9"/>
    <n v="1895702.27"/>
    <n v="188623.10000000009"/>
    <s v="No"/>
    <n v="703"/>
    <x v="0"/>
    <s v="Return $$ to fund"/>
    <n v="0"/>
  </r>
  <r>
    <x v="5"/>
    <n v="383"/>
    <x v="13"/>
    <x v="7"/>
    <x v="49"/>
    <x v="22"/>
    <x v="31"/>
    <x v="0"/>
    <n v="342338"/>
    <x v="28"/>
    <s v="Dean"/>
    <n v="0"/>
    <n v="0"/>
    <s v="2022/23"/>
    <s v="2022/23"/>
    <d v="2023-04-01T00:00:00"/>
    <d v="2023-07-31T00:00:00"/>
    <s v="2023/24"/>
    <d v="2023-10-31T00:00:00"/>
    <s v="Jared"/>
    <s v="Dean"/>
    <s v="Brothers Concrete"/>
    <s v="No"/>
    <s v="No"/>
    <n v="264032.25"/>
    <n v="228269.5"/>
    <m/>
    <m/>
    <n v="227964.9"/>
    <m/>
    <m/>
    <n v="264032.25"/>
    <n v="227964.9"/>
    <n v="78305.75"/>
    <s v="No"/>
    <m/>
    <x v="0"/>
    <m/>
    <n v="1"/>
  </r>
  <r>
    <x v="5"/>
    <n v="383"/>
    <x v="13"/>
    <x v="2"/>
    <x v="50"/>
    <x v="12"/>
    <x v="29"/>
    <x v="0"/>
    <n v="750000"/>
    <x v="25"/>
    <s v="Hafiz"/>
    <n v="0"/>
    <n v="0"/>
    <s v="2021/22"/>
    <s v="2022/23"/>
    <d v="2023-05-01T00:00:00"/>
    <d v="2024-01-10T00:00:00"/>
    <s v="2023/24"/>
    <d v="2024-01-31T00:00:00"/>
    <s v="Jared"/>
    <s v="Hafiz"/>
    <s v="Manatt's"/>
    <s v="No"/>
    <s v="No"/>
    <n v="609340.65"/>
    <n v="494593.94999999995"/>
    <m/>
    <m/>
    <n v="486763.58999999997"/>
    <m/>
    <m/>
    <n v="609340.65"/>
    <n v="486763.58999999997"/>
    <n v="140659.34999999998"/>
    <s v="No"/>
    <m/>
    <x v="0"/>
    <m/>
    <n v="0"/>
  </r>
  <r>
    <x v="5"/>
    <n v="383"/>
    <x v="13"/>
    <x v="2"/>
    <x v="48"/>
    <x v="14"/>
    <x v="32"/>
    <x v="0"/>
    <n v="1000000"/>
    <x v="29"/>
    <s v="Dean"/>
    <m/>
    <m/>
    <s v="2022/23"/>
    <s v="2022/23"/>
    <d v="2023-05-01T00:00:00"/>
    <d v="2023-12-31T00:00:00"/>
    <s v="2023/24"/>
    <d v="2023-12-31T00:00:00"/>
    <m/>
    <s v="Dean"/>
    <s v="Manatt's"/>
    <s v="No"/>
    <s v="No"/>
    <n v="840378.75"/>
    <n v="828193.84"/>
    <m/>
    <m/>
    <n v="826239.40099999995"/>
    <m/>
    <m/>
    <n v="840378.75"/>
    <n v="826239.40099999995"/>
    <n v="159621.25"/>
    <s v="No"/>
    <m/>
    <x v="0"/>
    <m/>
    <n v="0"/>
  </r>
  <r>
    <x v="5"/>
    <n v="383"/>
    <x v="13"/>
    <x v="2"/>
    <x v="51"/>
    <x v="23"/>
    <x v="33"/>
    <x v="0"/>
    <n v="250000"/>
    <x v="30"/>
    <s v="Hafiz"/>
    <n v="0"/>
    <n v="0"/>
    <s v="2022/23"/>
    <s v="2022/23"/>
    <d v="2023-04-01T00:00:00"/>
    <d v="2023-05-01T00:00:00"/>
    <s v="2022/23"/>
    <d v="2023-07-01T00:00:00"/>
    <s v="Jared"/>
    <s v="Hafiz"/>
    <s v="Brothers Concrete"/>
    <s v="No"/>
    <s v="No"/>
    <n v="133510"/>
    <n v="103062.3"/>
    <m/>
    <m/>
    <n v="103933.3"/>
    <m/>
    <m/>
    <n v="133510"/>
    <n v="103933.3"/>
    <n v="116490"/>
    <s v="No"/>
    <n v="0"/>
    <x v="0"/>
    <m/>
    <n v="1"/>
  </r>
  <r>
    <x v="5"/>
    <n v="510"/>
    <x v="5"/>
    <x v="3"/>
    <x v="8"/>
    <x v="5"/>
    <x v="32"/>
    <x v="0"/>
    <m/>
    <x v="29"/>
    <s v="Dean"/>
    <n v="0"/>
    <n v="0"/>
    <s v="2022/23"/>
    <s v="2022/23"/>
    <d v="2023-05-01T00:00:00"/>
    <d v="2023-12-31T00:00:00"/>
    <s v="2023/24"/>
    <d v="2023-12-31T00:00:00"/>
    <m/>
    <s v="Dean"/>
    <s v="Manatt's"/>
    <s v="No"/>
    <s v="No"/>
    <n v="8200"/>
    <n v="8613"/>
    <m/>
    <m/>
    <n v="8613"/>
    <m/>
    <m/>
    <n v="8200"/>
    <n v="8613"/>
    <n v="-8200"/>
    <s v="No"/>
    <m/>
    <x v="0"/>
    <m/>
    <n v="0"/>
  </r>
  <r>
    <x v="5"/>
    <n v="381"/>
    <x v="6"/>
    <x v="2"/>
    <x v="52"/>
    <x v="21"/>
    <x v="30"/>
    <x v="0"/>
    <n v="463298"/>
    <x v="27"/>
    <s v="WHKS"/>
    <n v="0"/>
    <n v="0"/>
    <s v="2023/24"/>
    <s v="2023/24"/>
    <d v="2024-03-01T00:00:00"/>
    <d v="2025-01-15T00:00:00"/>
    <s v="2024/25"/>
    <d v="2025-01-31T00:00:00"/>
    <s v="Jesus"/>
    <s v="Dean"/>
    <s v="Con-Struct"/>
    <s v="Yes"/>
    <s v="No"/>
    <n v="463298"/>
    <n v="463298"/>
    <m/>
    <m/>
    <n v="463298"/>
    <n v="0"/>
    <n v="0"/>
    <n v="463298"/>
    <n v="463298"/>
    <n v="0"/>
    <m/>
    <n v="0"/>
    <x v="0"/>
    <s v="Iowa DOT Audit"/>
    <n v="0"/>
  </r>
  <r>
    <x v="5"/>
    <n v="520"/>
    <x v="0"/>
    <x v="0"/>
    <x v="53"/>
    <x v="0"/>
    <x v="28"/>
    <x v="0"/>
    <m/>
    <x v="26"/>
    <m/>
    <n v="0"/>
    <n v="0"/>
    <s v="2022/23"/>
    <s v="2023/24"/>
    <d v="2024-07-06T00:00:00"/>
    <d v="2024-08-01T00:00:00"/>
    <s v="2024/25"/>
    <d v="2024-07-01T00:00:00"/>
    <s v="Jake"/>
    <s v="Dean"/>
    <s v="Country Landscapes"/>
    <s v="No"/>
    <s v="No"/>
    <m/>
    <m/>
    <m/>
    <m/>
    <n v="32845.699999999997"/>
    <m/>
    <m/>
    <n v="0"/>
    <n v="32845.699999999997"/>
    <n v="0"/>
    <m/>
    <m/>
    <x v="0"/>
    <m/>
    <n v="1"/>
  </r>
  <r>
    <x v="5"/>
    <n v="30"/>
    <x v="11"/>
    <x v="2"/>
    <x v="54"/>
    <x v="11"/>
    <x v="30"/>
    <x v="0"/>
    <n v="172500"/>
    <x v="27"/>
    <s v="WHKS"/>
    <n v="0"/>
    <n v="0"/>
    <s v="2023/24"/>
    <s v="2023/24"/>
    <d v="2024-03-01T00:00:00"/>
    <d v="2025-01-15T00:00:00"/>
    <s v="2024/25"/>
    <d v="2025-01-31T00:00:00"/>
    <s v="Jesus"/>
    <s v="Dean"/>
    <s v="Con-Struct"/>
    <s v="Yes"/>
    <s v="No"/>
    <n v="47635"/>
    <n v="100861"/>
    <m/>
    <m/>
    <n v="99537.56"/>
    <m/>
    <m/>
    <n v="47635"/>
    <n v="99537.56"/>
    <n v="124865"/>
    <s v="No"/>
    <n v="71639"/>
    <x v="0"/>
    <s v="Iowa DOT Audit"/>
    <n v="0"/>
  </r>
  <r>
    <x v="5"/>
    <n v="530"/>
    <x v="15"/>
    <x v="8"/>
    <x v="55"/>
    <x v="24"/>
    <x v="30"/>
    <x v="0"/>
    <n v="47635"/>
    <x v="27"/>
    <s v="Electric"/>
    <n v="0"/>
    <n v="0"/>
    <s v="2023/24"/>
    <s v="2023/24"/>
    <d v="2024-03-01T00:00:00"/>
    <d v="2025-01-15T00:00:00"/>
    <s v="2024/25"/>
    <d v="2025-01-31T00:00:00"/>
    <s v="Jesus"/>
    <s v="Dean"/>
    <s v="Con-Struct"/>
    <s v="Yes"/>
    <s v="No"/>
    <n v="47635"/>
    <n v="47635"/>
    <m/>
    <m/>
    <n v="47320"/>
    <m/>
    <m/>
    <n v="47635"/>
    <n v="47320"/>
    <n v="0"/>
    <m/>
    <n v="0"/>
    <x v="0"/>
    <s v="Iowa DOT Audit"/>
    <n v="0"/>
  </r>
  <r>
    <x v="5"/>
    <n v="383"/>
    <x v="13"/>
    <x v="2"/>
    <x v="56"/>
    <x v="21"/>
    <x v="30"/>
    <x v="0"/>
    <n v="775000"/>
    <x v="27"/>
    <s v="WHKS"/>
    <n v="158700"/>
    <n v="158700"/>
    <s v="2023/24"/>
    <s v="2023/24"/>
    <d v="2024-03-01T00:00:00"/>
    <d v="2025-01-15T00:00:00"/>
    <s v="2024/25"/>
    <d v="2025-01-31T00:00:00"/>
    <s v="Jesus"/>
    <s v="Dean"/>
    <s v="Con-Struct"/>
    <s v="Yes"/>
    <s v="No"/>
    <n v="482517.07"/>
    <n v="686193.2"/>
    <m/>
    <m/>
    <n v="641030.96"/>
    <n v="100000"/>
    <m/>
    <n v="741217.07000000007"/>
    <n v="899730.96"/>
    <n v="33782.929999999935"/>
    <s v="No"/>
    <n v="84332"/>
    <x v="0"/>
    <s v="Iowa DOT Audit, return the rest to the fund"/>
    <n v="0"/>
  </r>
  <r>
    <x v="5"/>
    <n v="520"/>
    <x v="0"/>
    <x v="0"/>
    <x v="0"/>
    <x v="25"/>
    <x v="34"/>
    <x v="0"/>
    <n v="100000"/>
    <x v="31"/>
    <s v="Dean"/>
    <n v="0"/>
    <n v="0"/>
    <s v="2021/22"/>
    <s v="2022/23"/>
    <d v="2023-04-01T00:00:00"/>
    <s v="6/31/23"/>
    <s v="2022/23"/>
    <s v="6/31/23"/>
    <m/>
    <m/>
    <s v="Ames Trenching"/>
    <s v="No"/>
    <s v="No"/>
    <n v="134740"/>
    <n v="94500"/>
    <m/>
    <m/>
    <n v="91500"/>
    <m/>
    <m/>
    <n v="134740"/>
    <n v="91500"/>
    <n v="-34740"/>
    <s v="No"/>
    <m/>
    <x v="0"/>
    <m/>
    <n v="1"/>
  </r>
  <r>
    <x v="5"/>
    <n v="520"/>
    <x v="0"/>
    <x v="0"/>
    <x v="0"/>
    <x v="0"/>
    <x v="27"/>
    <x v="0"/>
    <n v="200000"/>
    <x v="23"/>
    <s v="WHKS"/>
    <n v="0"/>
    <n v="0"/>
    <s v="2022/23"/>
    <s v="2022/23"/>
    <d v="2023-04-25T00:00:00"/>
    <m/>
    <s v="2025/26"/>
    <d v="2024-12-31T00:00:00"/>
    <s v="Jared"/>
    <s v="Hafiz"/>
    <s v="Shekar "/>
    <s v="No"/>
    <s v="No"/>
    <n v="289200"/>
    <n v="200000"/>
    <m/>
    <m/>
    <n v="174341.52"/>
    <n v="25000"/>
    <m/>
    <n v="314200"/>
    <n v="199341.52"/>
    <n v="-114200"/>
    <s v="No"/>
    <m/>
    <x v="0"/>
    <m/>
    <n v="0"/>
  </r>
  <r>
    <x v="5"/>
    <n v="520"/>
    <x v="0"/>
    <x v="0"/>
    <x v="0"/>
    <x v="0"/>
    <x v="32"/>
    <x v="0"/>
    <m/>
    <x v="29"/>
    <s v="Dean"/>
    <n v="0"/>
    <n v="0"/>
    <s v="2022/23"/>
    <s v="2022/23"/>
    <d v="2023-05-01T00:00:00"/>
    <d v="2023-12-31T00:00:00"/>
    <s v="2023/24"/>
    <d v="2023-12-31T00:00:00"/>
    <m/>
    <s v="Dean"/>
    <s v="Manatt's"/>
    <s v="No"/>
    <s v="No"/>
    <n v="2000"/>
    <n v="6710"/>
    <m/>
    <m/>
    <n v="14168"/>
    <m/>
    <m/>
    <n v="2000"/>
    <n v="14168"/>
    <n v="-2000"/>
    <s v="No"/>
    <m/>
    <x v="0"/>
    <m/>
    <n v="1"/>
  </r>
  <r>
    <x v="5"/>
    <n v="520"/>
    <x v="0"/>
    <x v="0"/>
    <x v="0"/>
    <x v="0"/>
    <x v="30"/>
    <x v="0"/>
    <n v="60000"/>
    <x v="27"/>
    <s v="WHKS"/>
    <n v="0"/>
    <n v="0"/>
    <s v="2023/24"/>
    <s v="2023/24"/>
    <d v="2024-03-01T00:00:00"/>
    <d v="2025-01-15T00:00:00"/>
    <s v="2024/25"/>
    <d v="2025-01-31T00:00:00"/>
    <s v="Jesus"/>
    <s v="Dean"/>
    <s v="Con-Struct"/>
    <s v="Yes"/>
    <s v="No"/>
    <n v="60000"/>
    <n v="64000"/>
    <m/>
    <m/>
    <n v="52000"/>
    <n v="0"/>
    <m/>
    <n v="60000"/>
    <n v="52000"/>
    <n v="0"/>
    <s v="No"/>
    <n v="0"/>
    <x v="0"/>
    <s v="Iowa DOT Audit"/>
    <n v="1"/>
  </r>
  <r>
    <x v="5"/>
    <n v="520"/>
    <x v="0"/>
    <x v="0"/>
    <x v="57"/>
    <x v="17"/>
    <x v="26"/>
    <x v="0"/>
    <n v="604725"/>
    <x v="14"/>
    <s v="Bolton &amp; Menk"/>
    <m/>
    <m/>
    <s v="2022/23"/>
    <s v="2022/23"/>
    <d v="2023-03-01T00:00:00"/>
    <d v="2024-12-17T00:00:00"/>
    <s v="2023/24"/>
    <s v="2023/24"/>
    <s v="Jesus"/>
    <s v="Cesar"/>
    <s v="Rognes Corp"/>
    <s v="No"/>
    <s v="No"/>
    <n v="487621.76"/>
    <n v="602268.48"/>
    <m/>
    <m/>
    <n v="878802.12"/>
    <m/>
    <m/>
    <n v="487621.76"/>
    <n v="878802.12"/>
    <n v="117103.23999999999"/>
    <s v="No"/>
    <n v="1094"/>
    <x v="0"/>
    <s v="Return $$ to fund"/>
    <n v="1"/>
  </r>
  <r>
    <x v="5"/>
    <n v="560"/>
    <x v="1"/>
    <x v="1"/>
    <x v="58"/>
    <x v="1"/>
    <x v="35"/>
    <x v="0"/>
    <n v="400000"/>
    <x v="32"/>
    <s v="WHKS"/>
    <n v="22700"/>
    <n v="22700"/>
    <s v="2023/24"/>
    <s v="2023/24"/>
    <d v="2024-02-01T00:00:00"/>
    <d v="2024-06-30T00:00:00"/>
    <s v="2023/24"/>
    <d v="2024-06-30T00:00:00"/>
    <s v="Jake"/>
    <s v="Hafiz"/>
    <s v="Iowa Earth Works"/>
    <s v="No"/>
    <s v="No"/>
    <n v="102966.5"/>
    <n v="75615.399999999994"/>
    <m/>
    <m/>
    <n v="61147.72"/>
    <m/>
    <m/>
    <n v="125666.5"/>
    <n v="83847.72"/>
    <n v="274333.5"/>
    <s v="No"/>
    <n v="0"/>
    <x v="0"/>
    <m/>
    <n v="1"/>
  </r>
  <r>
    <x v="5"/>
    <n v="560"/>
    <x v="1"/>
    <x v="1"/>
    <x v="58"/>
    <x v="1"/>
    <x v="36"/>
    <x v="1"/>
    <n v="249100"/>
    <x v="1"/>
    <s v="WHKS"/>
    <n v="63100"/>
    <m/>
    <s v="2022/23"/>
    <s v="2024/25"/>
    <m/>
    <m/>
    <s v="2025/26"/>
    <m/>
    <m/>
    <s v="Hafiz"/>
    <m/>
    <m/>
    <s v="No"/>
    <m/>
    <m/>
    <m/>
    <m/>
    <m/>
    <m/>
    <m/>
    <n v="63100"/>
    <n v="63100"/>
    <n v="186000"/>
    <m/>
    <n v="192540"/>
    <x v="0"/>
    <s v="Base bid and alternate"/>
    <n v="1"/>
  </r>
  <r>
    <x v="5"/>
    <n v="520"/>
    <x v="0"/>
    <x v="0"/>
    <x v="59"/>
    <x v="25"/>
    <x v="32"/>
    <x v="0"/>
    <m/>
    <x v="29"/>
    <s v="Dean"/>
    <n v="0"/>
    <n v="0"/>
    <s v="2022/23"/>
    <s v="2022/23"/>
    <d v="2023-05-01T00:00:00"/>
    <d v="2023-12-31T00:00:00"/>
    <s v="2023/24"/>
    <d v="2023-12-31T00:00:00"/>
    <m/>
    <s v="Dean"/>
    <s v="Manatt's"/>
    <s v="No"/>
    <s v="No"/>
    <n v="6000"/>
    <n v="3410"/>
    <m/>
    <m/>
    <n v="18062"/>
    <m/>
    <m/>
    <n v="6000"/>
    <n v="18062"/>
    <n v="-6000"/>
    <s v="No"/>
    <m/>
    <x v="0"/>
    <m/>
    <n v="0"/>
  </r>
  <r>
    <x v="5"/>
    <n v="560"/>
    <x v="1"/>
    <x v="1"/>
    <x v="17"/>
    <x v="9"/>
    <x v="28"/>
    <x v="0"/>
    <m/>
    <x v="24"/>
    <s v="WHKS"/>
    <n v="0"/>
    <n v="0"/>
    <s v="2022/23"/>
    <s v="2023/24"/>
    <d v="2024-07-06T00:00:00"/>
    <d v="2024-08-01T00:00:00"/>
    <s v="2024/25"/>
    <d v="2024-07-01T00:00:00"/>
    <s v="Jesus"/>
    <s v="Dean"/>
    <s v="Con-Struct"/>
    <s v="No"/>
    <s v="No"/>
    <n v="224655"/>
    <n v="195594"/>
    <m/>
    <m/>
    <n v="193977.5"/>
    <m/>
    <m/>
    <n v="224655"/>
    <n v="193977.5"/>
    <n v="-224655"/>
    <s v="No"/>
    <n v="0"/>
    <x v="0"/>
    <m/>
    <n v="0"/>
  </r>
  <r>
    <x v="5"/>
    <n v="522"/>
    <x v="12"/>
    <x v="0"/>
    <x v="60"/>
    <x v="0"/>
    <x v="37"/>
    <x v="1"/>
    <n v="2100000"/>
    <x v="1"/>
    <s v="WHKS"/>
    <n v="52000"/>
    <m/>
    <s v="2022/23"/>
    <s v="2024/25"/>
    <m/>
    <m/>
    <s v="2025/26"/>
    <m/>
    <s v="WHKS"/>
    <s v="Hafiz"/>
    <m/>
    <m/>
    <s v="No"/>
    <m/>
    <m/>
    <m/>
    <m/>
    <m/>
    <m/>
    <m/>
    <n v="52000"/>
    <n v="52000"/>
    <n v="2048000"/>
    <s v="No"/>
    <n v="560184"/>
    <x v="0"/>
    <s v="Designed.  Waiting for legal on a document through Manatt's property.  All permits (IDNR WW Construction, SRF Cat Ex, Local Floodplain) have been approved except for one (UPRR Permit)"/>
    <n v="1"/>
  </r>
  <r>
    <x v="5"/>
    <n v="560"/>
    <x v="1"/>
    <x v="1"/>
    <x v="61"/>
    <x v="2"/>
    <x v="38"/>
    <x v="2"/>
    <n v="632146"/>
    <x v="33"/>
    <s v="Liz"/>
    <n v="0"/>
    <n v="0"/>
    <s v="2025/26"/>
    <s v="2024/25"/>
    <d v="2025-08-01T00:00:00"/>
    <m/>
    <s v="2025/26"/>
    <d v="2026-06-30T00:00:00"/>
    <m/>
    <s v="Mindy/Noel"/>
    <s v="Iowa Water &amp; Waste Systems"/>
    <s v="No"/>
    <s v="No"/>
    <n v="518000"/>
    <n v="523245.2"/>
    <n v="43282.15"/>
    <m/>
    <m/>
    <n v="20000"/>
    <m/>
    <n v="586527.35"/>
    <n v="20000"/>
    <n v="45618.650000000023"/>
    <s v="No"/>
    <n v="30184.75"/>
    <x v="0"/>
    <m/>
    <n v="1"/>
  </r>
  <r>
    <x v="5"/>
    <n v="522"/>
    <x v="12"/>
    <x v="0"/>
    <x v="62"/>
    <x v="0"/>
    <x v="39"/>
    <x v="0"/>
    <n v="725918"/>
    <x v="34"/>
    <s v="WHKS"/>
    <n v="79500"/>
    <m/>
    <s v="2022/23"/>
    <s v="2022/23"/>
    <d v="2023-08-15T00:00:00"/>
    <d v="2024-03-02T00:00:00"/>
    <s v="2023/24"/>
    <d v="2024-05-01T00:00:00"/>
    <s v="WHKS"/>
    <s v="Hafiz"/>
    <s v="Jet Drain Services, LLC"/>
    <s v="No"/>
    <s v="No"/>
    <n v="1500000"/>
    <n v="1353819"/>
    <m/>
    <m/>
    <n v="1249017.99"/>
    <m/>
    <m/>
    <n v="1579500"/>
    <n v="1328517.99"/>
    <n v="-853582"/>
    <s v="No"/>
    <n v="703132"/>
    <x v="0"/>
    <s v="Complete"/>
    <n v="1"/>
  </r>
  <r>
    <x v="5"/>
    <n v="522"/>
    <x v="12"/>
    <x v="0"/>
    <x v="62"/>
    <x v="0"/>
    <x v="40"/>
    <x v="1"/>
    <n v="725918"/>
    <x v="1"/>
    <s v="WHKS"/>
    <n v="22786"/>
    <m/>
    <s v="2025/26"/>
    <s v="2025/26"/>
    <m/>
    <m/>
    <s v="2025/26"/>
    <m/>
    <m/>
    <s v="Hafiz"/>
    <m/>
    <m/>
    <m/>
    <m/>
    <m/>
    <m/>
    <m/>
    <m/>
    <m/>
    <m/>
    <n v="22786"/>
    <n v="22786"/>
    <n v="703132"/>
    <m/>
    <n v="703132"/>
    <x v="2"/>
    <m/>
    <n v="1"/>
  </r>
  <r>
    <x v="5"/>
    <n v="522"/>
    <x v="12"/>
    <x v="0"/>
    <x v="63"/>
    <x v="0"/>
    <x v="41"/>
    <x v="1"/>
    <n v="2336322"/>
    <x v="1"/>
    <s v="WHKS"/>
    <n v="0"/>
    <n v="0"/>
    <s v="2022/23"/>
    <s v="2024/25"/>
    <m/>
    <m/>
    <s v="2025/26"/>
    <m/>
    <s v="WHKS"/>
    <s v="Hafiz"/>
    <m/>
    <m/>
    <s v="No"/>
    <m/>
    <m/>
    <m/>
    <m/>
    <m/>
    <m/>
    <m/>
    <n v="0"/>
    <n v="0"/>
    <n v="2336322"/>
    <s v="No"/>
    <n v="2336322"/>
    <x v="0"/>
    <s v="This is in design.  We anticipate that we will need all of the available balance for construction.  Also, I would like to note that we will carry over the remaining $703,132 from the Hwy 69  project in Basin 12 as we are short on funds for the E Lincoln Way &amp; S. Duff project (Nikkol).  Need to apply for a new IUP Application for SRF by 9/1/25.  Check on environmental review!"/>
    <n v="1"/>
  </r>
  <r>
    <x v="6"/>
    <n v="122"/>
    <x v="4"/>
    <x v="0"/>
    <x v="64"/>
    <x v="17"/>
    <x v="42"/>
    <x v="3"/>
    <n v="654121"/>
    <x v="35"/>
    <s v="Hafiz"/>
    <n v="0"/>
    <n v="0"/>
    <s v="2024/25"/>
    <s v="2024/25"/>
    <d v="2024-12-01T00:00:00"/>
    <d v="2025-11-30T00:00:00"/>
    <s v="2024/25"/>
    <d v="2025-12-31T00:00:00"/>
    <s v="WHKS"/>
    <s v="Hafiz"/>
    <s v="Rognes Corp"/>
    <s v="No"/>
    <s v="No"/>
    <n v="702275"/>
    <n v="551057.69999999995"/>
    <n v="-8298.5"/>
    <m/>
    <n v="542759.19999999995"/>
    <n v="135000"/>
    <m/>
    <n v="837275"/>
    <n v="677759.2"/>
    <n v="-183154"/>
    <s v="No"/>
    <n v="69604"/>
    <x v="0"/>
    <m/>
    <n v="1"/>
  </r>
  <r>
    <x v="6"/>
    <n v="520"/>
    <x v="0"/>
    <x v="0"/>
    <x v="65"/>
    <x v="0"/>
    <x v="43"/>
    <x v="2"/>
    <n v="35000"/>
    <x v="36"/>
    <s v="Hafiz"/>
    <n v="0"/>
    <n v="0"/>
    <s v="2023/24"/>
    <s v="2023/24"/>
    <d v="2025-08-01T00:00:00"/>
    <m/>
    <s v="2025/26"/>
    <d v="2026-06-01T00:00:00"/>
    <s v="Jared"/>
    <s v="Hafiz"/>
    <s v="Con-Struct"/>
    <s v="No"/>
    <s v="No"/>
    <n v="35500"/>
    <n v="35000"/>
    <m/>
    <m/>
    <m/>
    <m/>
    <m/>
    <n v="35500"/>
    <n v="0"/>
    <n v="-500"/>
    <s v="No"/>
    <m/>
    <x v="2"/>
    <m/>
    <n v="0"/>
  </r>
  <r>
    <x v="6"/>
    <n v="520"/>
    <x v="0"/>
    <x v="0"/>
    <x v="66"/>
    <x v="0"/>
    <x v="44"/>
    <x v="3"/>
    <n v="200000"/>
    <x v="37"/>
    <s v="MSA"/>
    <n v="0"/>
    <n v="0"/>
    <s v="2023/24"/>
    <s v="2023/24"/>
    <d v="2024-06-01T00:00:00"/>
    <m/>
    <s v="2025/26"/>
    <d v="2025-12-31T00:00:00"/>
    <s v="Jesus"/>
    <s v="Hafiz"/>
    <s v="Con-Struct"/>
    <s v="No"/>
    <s v="No"/>
    <n v="231475"/>
    <n v="381800"/>
    <n v="18833.29"/>
    <n v="12000"/>
    <m/>
    <n v="0"/>
    <m/>
    <n v="231475"/>
    <n v="0"/>
    <n v="-43475"/>
    <s v="No"/>
    <n v="10000"/>
    <x v="0"/>
    <s v="Currently closed Chamberlain to Hunt. Sanitar is finished and storm sewer is currently under construction.  New water main from Chamberlain to Knapp and we are transferring over services.  The pavement will be opened back up August.  Right of way restoration will continue on into the fall."/>
    <n v="1"/>
  </r>
  <r>
    <x v="6"/>
    <n v="380"/>
    <x v="2"/>
    <x v="2"/>
    <x v="67"/>
    <x v="7"/>
    <x v="43"/>
    <x v="2"/>
    <n v="120000"/>
    <x v="36"/>
    <s v="Hafiz"/>
    <n v="0"/>
    <n v="0"/>
    <s v="2023/24"/>
    <s v="2023/24"/>
    <d v="2025-08-01T00:00:00"/>
    <m/>
    <s v="2025/26"/>
    <d v="2026-06-01T00:00:00"/>
    <s v="Jared"/>
    <s v="Hafiz"/>
    <s v="Con-Struct"/>
    <s v="No"/>
    <s v="No"/>
    <n v="120000"/>
    <n v="120000"/>
    <m/>
    <m/>
    <n v="54020"/>
    <n v="0"/>
    <n v="0"/>
    <n v="120000"/>
    <n v="54020"/>
    <n v="0"/>
    <s v="No"/>
    <n v="65980"/>
    <x v="0"/>
    <m/>
    <n v="0"/>
  </r>
  <r>
    <x v="6"/>
    <n v="510"/>
    <x v="5"/>
    <x v="3"/>
    <x v="68"/>
    <x v="5"/>
    <x v="43"/>
    <x v="2"/>
    <n v="28000"/>
    <x v="36"/>
    <s v="Hafiz"/>
    <n v="0"/>
    <n v="0"/>
    <s v="2023/24"/>
    <s v="2023/24"/>
    <d v="2025-08-01T00:00:00"/>
    <m/>
    <s v="2025/26"/>
    <d v="2026-06-01T00:00:00"/>
    <s v="Jared"/>
    <s v="Hafiz"/>
    <s v="Con-Struct"/>
    <s v="No"/>
    <s v="No"/>
    <n v="39220"/>
    <n v="27430"/>
    <m/>
    <m/>
    <m/>
    <m/>
    <m/>
    <n v="39220"/>
    <n v="0"/>
    <n v="-11220"/>
    <s v="No"/>
    <n v="0"/>
    <x v="0"/>
    <m/>
    <n v="0"/>
  </r>
  <r>
    <x v="6"/>
    <n v="384"/>
    <x v="14"/>
    <x v="2"/>
    <x v="69"/>
    <x v="7"/>
    <x v="43"/>
    <x v="2"/>
    <n v="1170300"/>
    <x v="36"/>
    <s v="Hafiz"/>
    <n v="0"/>
    <n v="0"/>
    <s v="2023/24"/>
    <s v="2023/24"/>
    <d v="2025-08-01T00:00:00"/>
    <m/>
    <s v="2025/26"/>
    <d v="2026-06-01T00:00:00"/>
    <s v="Jared"/>
    <s v="Hafiz"/>
    <s v="Con-Struct"/>
    <s v="No"/>
    <s v="No"/>
    <n v="1141766.18"/>
    <n v="1003926"/>
    <m/>
    <m/>
    <m/>
    <n v="200000"/>
    <m/>
    <n v="1341766.18"/>
    <n v="200000"/>
    <n v="-171466.17999999993"/>
    <s v="No"/>
    <n v="358394"/>
    <x v="0"/>
    <m/>
    <n v="1"/>
  </r>
  <r>
    <x v="6"/>
    <n v="60"/>
    <x v="8"/>
    <x v="2"/>
    <x v="70"/>
    <x v="7"/>
    <x v="43"/>
    <x v="2"/>
    <n v="75000"/>
    <x v="36"/>
    <s v="Hafiz"/>
    <n v="0"/>
    <n v="0"/>
    <s v="2023/24"/>
    <s v="2023/24"/>
    <d v="2025-08-01T00:00:00"/>
    <m/>
    <s v="2025/26"/>
    <d v="2026-06-01T00:00:00"/>
    <s v="Jared"/>
    <s v="Hafiz"/>
    <s v="Con-Struct"/>
    <s v="No"/>
    <s v="No"/>
    <n v="75000"/>
    <n v="75000"/>
    <m/>
    <m/>
    <n v="75000"/>
    <n v="0"/>
    <n v="0"/>
    <n v="75000"/>
    <n v="75000"/>
    <n v="0"/>
    <s v="No"/>
    <n v="0"/>
    <x v="0"/>
    <m/>
    <n v="0"/>
  </r>
  <r>
    <x v="6"/>
    <n v="384"/>
    <x v="14"/>
    <x v="2"/>
    <x v="71"/>
    <x v="14"/>
    <x v="45"/>
    <x v="0"/>
    <n v="900000"/>
    <x v="38"/>
    <s v="Dean"/>
    <n v="0"/>
    <n v="0"/>
    <s v="2023/24"/>
    <s v="2023/24"/>
    <d v="2024-10-01T00:00:00"/>
    <d v="2025-11-04T00:00:00"/>
    <s v="2025/26"/>
    <d v="2025-12-31T00:00:00"/>
    <s v="Scott S"/>
    <s v="Dean"/>
    <s v="Con-Struct"/>
    <s v="No"/>
    <s v="No"/>
    <n v="832278.3"/>
    <n v="346298.69999999995"/>
    <n v="81528.41"/>
    <m/>
    <n v="761082.61"/>
    <n v="116000"/>
    <m/>
    <n v="948278.3"/>
    <n v="877082.61"/>
    <n v="-48278.300000000047"/>
    <s v="No"/>
    <n v="172551"/>
    <x v="0"/>
    <s v="returned $56,551 to fund after Engineering came out"/>
    <n v="1"/>
  </r>
  <r>
    <x v="6"/>
    <n v="510"/>
    <x v="5"/>
    <x v="3"/>
    <x v="8"/>
    <x v="5"/>
    <x v="46"/>
    <x v="0"/>
    <n v="373315"/>
    <x v="39"/>
    <s v="Dean"/>
    <n v="0"/>
    <n v="0"/>
    <s v="2023/24"/>
    <s v="2023/24"/>
    <d v="2024-05-01T00:00:00"/>
    <d v="2025-05-31T00:00:00"/>
    <s v="2025/26"/>
    <d v="2025-12-31T00:00:00"/>
    <s v="Jared"/>
    <s v="Dean"/>
    <s v="Manatt's"/>
    <s v="No"/>
    <s v="No"/>
    <n v="445850"/>
    <n v="360255.5"/>
    <m/>
    <m/>
    <n v="373315"/>
    <n v="0"/>
    <m/>
    <n v="445850"/>
    <n v="373315"/>
    <n v="-72535"/>
    <s v="No"/>
    <m/>
    <x v="0"/>
    <m/>
    <n v="1"/>
  </r>
  <r>
    <x v="6"/>
    <n v="60"/>
    <x v="8"/>
    <x v="2"/>
    <x v="44"/>
    <x v="19"/>
    <x v="46"/>
    <x v="0"/>
    <n v="300000"/>
    <x v="39"/>
    <s v="Dean"/>
    <n v="0"/>
    <n v="0"/>
    <s v="2023/24"/>
    <s v="2023/24"/>
    <d v="2024-05-01T00:00:00"/>
    <d v="2025-05-31T00:00:00"/>
    <s v="2025/26"/>
    <d v="2025-12-31T00:00:00"/>
    <s v="Jared"/>
    <s v="Dean"/>
    <s v="Manatt's"/>
    <s v="No"/>
    <s v="No"/>
    <n v="268905"/>
    <n v="307042"/>
    <m/>
    <m/>
    <n v="124474.8"/>
    <n v="0"/>
    <n v="75500"/>
    <n v="268905"/>
    <n v="124474.8"/>
    <n v="31095"/>
    <s v="No"/>
    <n v="331421"/>
    <x v="0"/>
    <s v="Return $100,000 to fund"/>
    <n v="0"/>
  </r>
  <r>
    <x v="6"/>
    <n v="384"/>
    <x v="14"/>
    <x v="2"/>
    <x v="72"/>
    <x v="12"/>
    <x v="46"/>
    <x v="0"/>
    <n v="1750000"/>
    <x v="39"/>
    <s v="Dean"/>
    <n v="0"/>
    <n v="0"/>
    <s v="2023/24"/>
    <s v="2023/24"/>
    <d v="2024-05-01T00:00:00"/>
    <d v="2025-05-31T00:00:00"/>
    <s v="2025/26"/>
    <d v="2025-12-31T00:00:00"/>
    <s v="Jared"/>
    <s v="Dean"/>
    <s v="Manatt's"/>
    <s v="No"/>
    <s v="No"/>
    <n v="1342729.5"/>
    <n v="989241.26"/>
    <m/>
    <m/>
    <n v="974576.39"/>
    <n v="130000"/>
    <m/>
    <n v="1472729.5"/>
    <n v="1104576.3900000001"/>
    <n v="277270.5"/>
    <s v="No"/>
    <n v="610937"/>
    <x v="0"/>
    <m/>
    <n v="0"/>
  </r>
  <r>
    <x v="6"/>
    <n v="384"/>
    <x v="14"/>
    <x v="2"/>
    <x v="73"/>
    <x v="6"/>
    <x v="2"/>
    <x v="0"/>
    <n v="1319224"/>
    <x v="2"/>
    <s v="Hafiz"/>
    <n v="0"/>
    <n v="0"/>
    <s v="2023/24"/>
    <s v="2023/24"/>
    <d v="2024-05-15T00:00:00"/>
    <d v="2024-11-30T00:00:00"/>
    <s v="2024/25"/>
    <d v="2025-08-01T00:00:00"/>
    <s v="Scott S"/>
    <s v="Hafiz"/>
    <s v="All Star Concrete"/>
    <s v="No"/>
    <s v="No"/>
    <n v="1182320.3999999999"/>
    <n v="1187598.8899999999"/>
    <m/>
    <m/>
    <n v="1235121.1299999999"/>
    <n v="140000"/>
    <m/>
    <n v="1322320.3999999999"/>
    <n v="1375121.13"/>
    <n v="-3096.3999999999069"/>
    <s v="No"/>
    <n v="0"/>
    <x v="0"/>
    <s v="Returned $76,975 to fund."/>
    <n v="0"/>
  </r>
  <r>
    <x v="6"/>
    <n v="530"/>
    <x v="15"/>
    <x v="9"/>
    <x v="55"/>
    <x v="6"/>
    <x v="2"/>
    <x v="0"/>
    <n v="9405"/>
    <x v="2"/>
    <s v="Hafiz"/>
    <n v="0"/>
    <n v="0"/>
    <s v="2023/24"/>
    <s v="2023/24"/>
    <d v="2024-05-15T00:00:00"/>
    <d v="2024-11-30T00:00:00"/>
    <s v="2024/25"/>
    <d v="2025-08-01T00:00:00"/>
    <s v="Scott S"/>
    <s v="Hafiz"/>
    <s v="All Star Concrete"/>
    <s v="No"/>
    <s v="No"/>
    <n v="0"/>
    <n v="0"/>
    <m/>
    <m/>
    <n v="9405"/>
    <m/>
    <m/>
    <n v="0"/>
    <n v="9405"/>
    <n v="9405"/>
    <s v="No"/>
    <n v="0"/>
    <x v="0"/>
    <m/>
    <n v="0"/>
  </r>
  <r>
    <x v="6"/>
    <n v="510"/>
    <x v="5"/>
    <x v="3"/>
    <x v="8"/>
    <x v="5"/>
    <x v="47"/>
    <x v="0"/>
    <m/>
    <x v="40"/>
    <s v="Dean"/>
    <n v="0"/>
    <n v="0"/>
    <s v="2023/24"/>
    <s v="2023/24"/>
    <d v="2024-05-01T00:00:00"/>
    <d v="2025-03-31T00:00:00"/>
    <s v="2024/25"/>
    <d v="2025-12-31T00:00:00"/>
    <s v="Scott M"/>
    <s v="Dean"/>
    <s v="Manatt's"/>
    <s v="No"/>
    <s v="No"/>
    <n v="195687.5"/>
    <n v="143101.04999999999"/>
    <m/>
    <m/>
    <n v="167300"/>
    <m/>
    <m/>
    <n v="195687.5"/>
    <n v="167300"/>
    <n v="-195687.5"/>
    <s v="No"/>
    <m/>
    <x v="0"/>
    <m/>
    <n v="0"/>
  </r>
  <r>
    <x v="6"/>
    <n v="384"/>
    <x v="14"/>
    <x v="2"/>
    <x v="71"/>
    <x v="14"/>
    <x v="47"/>
    <x v="0"/>
    <m/>
    <x v="40"/>
    <s v="Dean"/>
    <n v="0"/>
    <n v="0"/>
    <s v="2023/24"/>
    <s v="2023/24"/>
    <d v="2024-05-01T00:00:00"/>
    <d v="2025-03-31T00:00:00"/>
    <s v="2024/25"/>
    <d v="2025-12-31T00:00:00"/>
    <s v="Scott M"/>
    <s v="Dean"/>
    <s v="Manatt's"/>
    <s v="No"/>
    <s v="No"/>
    <n v="1740770.5"/>
    <n v="1276560.52"/>
    <m/>
    <m/>
    <n v="1494587.37"/>
    <m/>
    <m/>
    <n v="1740770.5"/>
    <n v="1494587.37"/>
    <n v="-1740770.5"/>
    <s v="No"/>
    <n v="0"/>
    <x v="0"/>
    <m/>
    <n v="0"/>
  </r>
  <r>
    <x v="6"/>
    <n v="510"/>
    <x v="5"/>
    <x v="3"/>
    <x v="8"/>
    <x v="5"/>
    <x v="48"/>
    <x v="3"/>
    <n v="808389.46"/>
    <x v="41"/>
    <s v="Hafiz"/>
    <n v="0"/>
    <n v="0"/>
    <s v="2023/24"/>
    <s v="2023/24"/>
    <d v="2025-03-10T00:00:00"/>
    <d v="2025-11-25T00:00:00"/>
    <s v="2025/26"/>
    <d v="2025-12-31T00:00:00"/>
    <s v="Scott M"/>
    <s v="Hafiz "/>
    <s v="Jet Drain Services, LLC"/>
    <s v="No"/>
    <s v="No"/>
    <n v="910652.5"/>
    <n v="808389.46"/>
    <n v="82512.47"/>
    <m/>
    <n v="890901.93"/>
    <n v="122000"/>
    <n v="122000"/>
    <n v="1032652.5"/>
    <n v="1012901.93"/>
    <n v="-224263.04000000004"/>
    <s v="No"/>
    <m/>
    <x v="0"/>
    <s v="Claim from supplier issued.  DO NOT CLOSE-OUT until resolved."/>
    <n v="1"/>
  </r>
  <r>
    <x v="6"/>
    <n v="87"/>
    <x v="9"/>
    <x v="3"/>
    <x v="8"/>
    <x v="5"/>
    <x v="49"/>
    <x v="0"/>
    <n v="560000"/>
    <x v="42"/>
    <s v="Hafiz"/>
    <n v="0"/>
    <n v="0"/>
    <s v="2024/25"/>
    <s v="2024/25"/>
    <d v="2025-05-15T00:00:00"/>
    <d v="2025-10-31T00:00:00"/>
    <s v="2025/26"/>
    <d v="2025-12-31T00:00:00"/>
    <s v="Jesus"/>
    <s v="Hafiz"/>
    <s v="Iowa Water &amp; Waste Systems"/>
    <s v="Yes"/>
    <s v="No"/>
    <n v="403563"/>
    <n v="346858.5"/>
    <n v="30831.65"/>
    <m/>
    <n v="377690.15"/>
    <n v="60000"/>
    <m/>
    <n v="463563"/>
    <n v="437690.15"/>
    <n v="96437"/>
    <s v="No"/>
    <m/>
    <x v="0"/>
    <s v="CDBG Project.  Replacing 4&quot; water main from N 2nd to N 4th with an new 8&quot; main.  Water main is already installed (trenchless) and we're waiting for test results.  Water services will be transferred over."/>
    <n v="1"/>
  </r>
  <r>
    <x v="6"/>
    <n v="384"/>
    <x v="14"/>
    <x v="2"/>
    <x v="71"/>
    <x v="14"/>
    <x v="50"/>
    <x v="0"/>
    <n v="545412"/>
    <x v="43"/>
    <s v="Dean"/>
    <n v="0"/>
    <n v="0"/>
    <s v="2023/24"/>
    <s v="2023/24"/>
    <d v="2025-05-01T00:00:00"/>
    <d v="2025-10-31T00:00:00"/>
    <s v="2025/26"/>
    <d v="2025-12-31T00:00:00"/>
    <s v="Scott S"/>
    <s v="Dean"/>
    <s v="Con-Struct"/>
    <s v="No"/>
    <s v="No"/>
    <n v="303596.5"/>
    <n v="252647.9"/>
    <n v="-26991.68"/>
    <m/>
    <n v="273693.5"/>
    <n v="70000"/>
    <m/>
    <n v="373596.5"/>
    <n v="343693.5"/>
    <n v="171815.5"/>
    <s v="No"/>
    <n v="0"/>
    <x v="0"/>
    <m/>
    <n v="0"/>
  </r>
  <r>
    <x v="6"/>
    <n v="384"/>
    <x v="14"/>
    <x v="2"/>
    <x v="74"/>
    <x v="3"/>
    <x v="50"/>
    <x v="0"/>
    <n v="900000"/>
    <x v="43"/>
    <s v="Dean"/>
    <n v="0"/>
    <n v="0"/>
    <s v="2023/24"/>
    <s v="2023/24"/>
    <d v="2025-05-01T00:00:00"/>
    <d v="2025-10-31T00:00:00"/>
    <s v="2025/26"/>
    <d v="2025-12-31T00:00:00"/>
    <s v="Scott S"/>
    <s v="Dean"/>
    <s v="Con-Struct"/>
    <s v="No"/>
    <s v="No"/>
    <n v="807706.8"/>
    <n v="705695.1"/>
    <n v="203488.8"/>
    <m/>
    <n v="871146.62"/>
    <n v="100000"/>
    <m/>
    <n v="907706.8"/>
    <n v="971146.62"/>
    <n v="-7706.8000000000466"/>
    <s v="No"/>
    <n v="102396"/>
    <x v="0"/>
    <m/>
    <n v="0"/>
  </r>
  <r>
    <x v="6"/>
    <n v="520"/>
    <x v="0"/>
    <x v="0"/>
    <x v="0"/>
    <x v="0"/>
    <x v="45"/>
    <x v="0"/>
    <n v="27000"/>
    <x v="38"/>
    <s v="Dean"/>
    <n v="0"/>
    <n v="0"/>
    <s v="2023/24"/>
    <s v="2023/24"/>
    <d v="2024-10-01T00:00:00"/>
    <d v="2025-11-04T00:00:00"/>
    <s v="2025/26"/>
    <d v="2025-12-31T00:00:00"/>
    <s v="Scott S"/>
    <s v="Dean"/>
    <s v="Con-Struct"/>
    <s v="No"/>
    <s v="No"/>
    <n v="19500"/>
    <n v="18000"/>
    <n v="9000"/>
    <m/>
    <n v="27000"/>
    <m/>
    <m/>
    <n v="19500"/>
    <n v="27000"/>
    <n v="7500"/>
    <s v="No"/>
    <n v="0"/>
    <x v="0"/>
    <m/>
    <n v="0"/>
  </r>
  <r>
    <x v="6"/>
    <n v="510"/>
    <x v="5"/>
    <x v="3"/>
    <x v="75"/>
    <x v="5"/>
    <x v="44"/>
    <x v="2"/>
    <n v="399800"/>
    <x v="37"/>
    <s v="MSA"/>
    <n v="0"/>
    <n v="0"/>
    <s v="2023/24"/>
    <s v="2023/24"/>
    <d v="2024-06-01T00:00:00"/>
    <m/>
    <s v="2025/26"/>
    <d v="2025-12-31T00:00:00"/>
    <s v="Jesus"/>
    <s v="Hafiz"/>
    <s v="Con-Struct"/>
    <s v="No"/>
    <s v="No"/>
    <n v="251815"/>
    <n v="340045"/>
    <n v="1911.17"/>
    <m/>
    <m/>
    <m/>
    <m/>
    <n v="251815"/>
    <n v="0"/>
    <n v="147985"/>
    <s v="No"/>
    <n v="15889"/>
    <x v="0"/>
    <m/>
    <n v="0"/>
  </r>
  <r>
    <x v="6"/>
    <n v="384"/>
    <x v="14"/>
    <x v="2"/>
    <x v="76"/>
    <x v="26"/>
    <x v="44"/>
    <x v="2"/>
    <n v="982837"/>
    <x v="37"/>
    <s v="MSA"/>
    <n v="101225"/>
    <m/>
    <s v="2023/24"/>
    <s v="2023/24"/>
    <d v="2024-06-01T00:00:00"/>
    <m/>
    <s v="2025/26"/>
    <d v="2025-12-31T00:00:00"/>
    <s v="Jesus"/>
    <s v="Hafiz"/>
    <s v="Con-Struct"/>
    <s v="No"/>
    <s v="No"/>
    <n v="847792.4"/>
    <n v="789902"/>
    <n v="-181860.26"/>
    <m/>
    <m/>
    <n v="100000"/>
    <m/>
    <n v="1049017.3999999999"/>
    <n v="201225"/>
    <n v="-66180.399999999907"/>
    <s v="No"/>
    <n v="117627"/>
    <x v="0"/>
    <s v="Removed inclusive crossing"/>
    <n v="0"/>
  </r>
  <r>
    <x v="6"/>
    <n v="520"/>
    <x v="0"/>
    <x v="0"/>
    <x v="0"/>
    <x v="0"/>
    <x v="46"/>
    <x v="0"/>
    <n v="184224"/>
    <x v="39"/>
    <s v="Dean"/>
    <n v="0"/>
    <n v="0"/>
    <s v="2023/24"/>
    <s v="2023/24"/>
    <d v="2024-05-01T00:00:00"/>
    <d v="2025-05-31T00:00:00"/>
    <s v="2025/26"/>
    <d v="2025-12-31T00:00:00"/>
    <s v="Jared"/>
    <s v="Dean"/>
    <s v="Manatt's"/>
    <s v="No"/>
    <s v="No"/>
    <n v="202700"/>
    <n v="171462.6"/>
    <m/>
    <m/>
    <n v="184223.1"/>
    <n v="25000"/>
    <m/>
    <n v="227700"/>
    <n v="209223.1"/>
    <n v="-43476"/>
    <s v="No"/>
    <m/>
    <x v="0"/>
    <m/>
    <n v="0"/>
  </r>
  <r>
    <x v="6"/>
    <n v="520"/>
    <x v="0"/>
    <x v="0"/>
    <x v="0"/>
    <x v="0"/>
    <x v="47"/>
    <x v="0"/>
    <m/>
    <x v="40"/>
    <s v="Dean"/>
    <n v="0"/>
    <n v="0"/>
    <s v="2023/24"/>
    <s v="2023/24"/>
    <d v="2024-05-01T00:00:00"/>
    <d v="2025-03-31T00:00:00"/>
    <s v="2024/25"/>
    <d v="2025-12-31T00:00:00"/>
    <s v="Scott M"/>
    <s v="Dean"/>
    <s v="Manatt's"/>
    <s v="No"/>
    <s v="No"/>
    <n v="91000"/>
    <n v="147266"/>
    <m/>
    <m/>
    <n v="147266"/>
    <m/>
    <m/>
    <n v="91000"/>
    <n v="147266"/>
    <n v="-91000"/>
    <s v="No"/>
    <m/>
    <x v="0"/>
    <m/>
    <n v="1"/>
  </r>
  <r>
    <x v="6"/>
    <n v="520"/>
    <x v="0"/>
    <x v="0"/>
    <x v="0"/>
    <x v="0"/>
    <x v="51"/>
    <x v="1"/>
    <m/>
    <x v="1"/>
    <s v="WHKS"/>
    <n v="4500"/>
    <n v="4500"/>
    <s v="2024/25"/>
    <s v="2024/25"/>
    <m/>
    <m/>
    <s v="2025/26"/>
    <m/>
    <s v="WHKS"/>
    <s v="Hafiz"/>
    <m/>
    <m/>
    <s v="No"/>
    <m/>
    <m/>
    <m/>
    <m/>
    <m/>
    <m/>
    <m/>
    <n v="4500"/>
    <n v="4500"/>
    <n v="-4500"/>
    <m/>
    <m/>
    <x v="0"/>
    <s v="Plans Complete and ready for Bid.  Permits have been approved (IDNR WW Constrution, SRF Cat Ex, Local Floodplain)"/>
    <n v="1"/>
  </r>
  <r>
    <x v="6"/>
    <n v="520"/>
    <x v="0"/>
    <x v="0"/>
    <x v="0"/>
    <x v="0"/>
    <x v="51"/>
    <x v="1"/>
    <m/>
    <x v="1"/>
    <s v="WHKS"/>
    <n v="20179.45"/>
    <n v="20179.45"/>
    <s v="2024/25"/>
    <s v="2024/25"/>
    <m/>
    <m/>
    <s v="2025/26"/>
    <m/>
    <s v="WHKS"/>
    <s v="Hafiz"/>
    <m/>
    <m/>
    <s v="No"/>
    <m/>
    <m/>
    <m/>
    <m/>
    <m/>
    <m/>
    <m/>
    <n v="20179.45"/>
    <n v="20179.45"/>
    <n v="-20179.45"/>
    <m/>
    <m/>
    <x v="0"/>
    <s v="Plans Complete and ready for Bid.  Permits have been approved (IDNR WW Constrution, SRF Cat Ex, Local Floodplain)"/>
    <n v="0"/>
  </r>
  <r>
    <x v="6"/>
    <n v="520"/>
    <x v="0"/>
    <x v="0"/>
    <x v="0"/>
    <x v="0"/>
    <x v="50"/>
    <x v="0"/>
    <n v="58000"/>
    <x v="43"/>
    <s v="Dean"/>
    <n v="0"/>
    <n v="0"/>
    <s v="2023/24"/>
    <s v="2023/24"/>
    <d v="2025-05-01T00:00:00"/>
    <d v="2025-10-31T00:00:00"/>
    <s v="2025/26"/>
    <d v="2025-12-31T00:00:00"/>
    <s v="Scott S"/>
    <s v="Dean"/>
    <s v="Con-Struct"/>
    <s v="No"/>
    <s v="No"/>
    <n v="54000"/>
    <n v="57100"/>
    <m/>
    <m/>
    <n v="47100"/>
    <m/>
    <m/>
    <n v="54000"/>
    <n v="47100"/>
    <n v="4000"/>
    <s v="No"/>
    <n v="261006"/>
    <x v="0"/>
    <m/>
    <n v="1"/>
  </r>
  <r>
    <x v="6"/>
    <n v="560"/>
    <x v="1"/>
    <x v="1"/>
    <x v="77"/>
    <x v="1"/>
    <x v="52"/>
    <x v="0"/>
    <n v="250000"/>
    <x v="44"/>
    <s v="WHKS"/>
    <n v="32800"/>
    <n v="32800"/>
    <s v="2024/25"/>
    <s v="2024/25"/>
    <d v="2025-03-15T00:00:00"/>
    <d v="2025-10-31T00:00:00"/>
    <s v="2025/26"/>
    <d v="2025-12-31T00:00:00"/>
    <s v="Jake"/>
    <s v="Hafiz"/>
    <s v="Jackson Construction, LLC"/>
    <s v="No"/>
    <s v="No"/>
    <n v="179780"/>
    <n v="95143.17"/>
    <n v="19013.46"/>
    <m/>
    <n v="114156.63"/>
    <n v="20000"/>
    <m/>
    <n v="232580"/>
    <n v="166956.63"/>
    <n v="17420"/>
    <m/>
    <n v="0"/>
    <x v="0"/>
    <s v="Everything except for tree planting should be done next week.  We will plant trees in August."/>
    <n v="1"/>
  </r>
  <r>
    <x v="6"/>
    <n v="560"/>
    <x v="1"/>
    <x v="1"/>
    <x v="77"/>
    <x v="1"/>
    <x v="53"/>
    <x v="1"/>
    <n v="600000"/>
    <x v="1"/>
    <s v="WHKS"/>
    <n v="29400"/>
    <m/>
    <s v="2025/26"/>
    <s v="2025/26"/>
    <m/>
    <m/>
    <s v="2025/26"/>
    <m/>
    <m/>
    <m/>
    <m/>
    <m/>
    <s v="No"/>
    <m/>
    <m/>
    <m/>
    <m/>
    <m/>
    <m/>
    <m/>
    <n v="29400"/>
    <n v="29400"/>
    <n v="570600"/>
    <m/>
    <n v="680350"/>
    <x v="0"/>
    <m/>
    <n v="1"/>
  </r>
  <r>
    <x v="6"/>
    <n v="522"/>
    <x v="12"/>
    <x v="0"/>
    <x v="78"/>
    <x v="0"/>
    <x v="51"/>
    <x v="1"/>
    <n v="7500000"/>
    <x v="1"/>
    <s v="WHKS"/>
    <n v="272000"/>
    <n v="307563.19"/>
    <s v="2024/25"/>
    <s v="2024/25"/>
    <m/>
    <m/>
    <s v="2025/26"/>
    <m/>
    <s v="WHKS"/>
    <s v="Hafiz"/>
    <m/>
    <m/>
    <s v="No"/>
    <m/>
    <m/>
    <m/>
    <m/>
    <m/>
    <m/>
    <m/>
    <n v="272000"/>
    <n v="272000"/>
    <n v="7228000"/>
    <s v="No"/>
    <n v="5553127"/>
    <x v="0"/>
    <s v="Need to find more funds for this one."/>
    <n v="0"/>
  </r>
  <r>
    <x v="7"/>
    <n v="122"/>
    <x v="4"/>
    <x v="0"/>
    <x v="79"/>
    <x v="17"/>
    <x v="54"/>
    <x v="0"/>
    <n v="2336904"/>
    <x v="45"/>
    <s v="WHKS"/>
    <n v="273000"/>
    <m/>
    <s v="2024/25"/>
    <s v="2024/25"/>
    <d v="2025-01-20T00:00:00"/>
    <d v="2025-10-31T00:00:00"/>
    <s v="2024/25"/>
    <d v="2025-12-31T00:00:00"/>
    <s v="WHKS"/>
    <s v="Hafiz"/>
    <s v="S.M. Hentges &amp; Sons, Inc"/>
    <s v="No"/>
    <s v="No"/>
    <n v="3098434"/>
    <n v="2036000"/>
    <m/>
    <m/>
    <m/>
    <n v="305000"/>
    <m/>
    <n v="3676434"/>
    <n v="578000"/>
    <n v="-1339530"/>
    <s v="No"/>
    <n v="26174"/>
    <x v="0"/>
    <m/>
    <n v="1"/>
  </r>
  <r>
    <x v="7"/>
    <n v="560"/>
    <x v="1"/>
    <x v="1"/>
    <x v="80"/>
    <x v="27"/>
    <x v="55"/>
    <x v="2"/>
    <n v="250000"/>
    <x v="1"/>
    <s v="Shive Hattery"/>
    <n v="0"/>
    <n v="0"/>
    <s v="2024/25"/>
    <s v="2024/25"/>
    <d v="2025-06-17T00:00:00"/>
    <m/>
    <s v="2026/27"/>
    <s v="12/31/20266"/>
    <m/>
    <s v="Hafiz"/>
    <s v="Con-Struct"/>
    <s v="Yes"/>
    <s v="Yes"/>
    <n v="210731.5"/>
    <n v="196124"/>
    <m/>
    <m/>
    <m/>
    <m/>
    <m/>
    <n v="210731.5"/>
    <n v="0"/>
    <n v="39268.5"/>
    <m/>
    <m/>
    <x v="1"/>
    <m/>
    <n v="0"/>
  </r>
  <r>
    <x v="7"/>
    <n v="560"/>
    <x v="1"/>
    <x v="1"/>
    <x v="81"/>
    <x v="28"/>
    <x v="56"/>
    <x v="3"/>
    <m/>
    <x v="1"/>
    <s v="Dean"/>
    <n v="0"/>
    <n v="0"/>
    <s v="2024/25"/>
    <s v="2024/25"/>
    <d v="2024-07-01T00:00:00"/>
    <m/>
    <m/>
    <m/>
    <m/>
    <m/>
    <m/>
    <m/>
    <m/>
    <m/>
    <m/>
    <m/>
    <m/>
    <m/>
    <n v="22857"/>
    <m/>
    <n v="22857"/>
    <n v="22857"/>
    <n v="-22857"/>
    <m/>
    <n v="278872"/>
    <x v="2"/>
    <m/>
    <n v="1"/>
  </r>
  <r>
    <x v="7"/>
    <n v="560"/>
    <x v="1"/>
    <x v="1"/>
    <x v="32"/>
    <x v="15"/>
    <x v="57"/>
    <x v="5"/>
    <n v="190961"/>
    <x v="1"/>
    <m/>
    <m/>
    <m/>
    <s v="2026/27"/>
    <s v="2026/27"/>
    <m/>
    <m/>
    <s v="2027/28"/>
    <m/>
    <m/>
    <m/>
    <m/>
    <m/>
    <s v="No"/>
    <m/>
    <m/>
    <m/>
    <m/>
    <m/>
    <m/>
    <m/>
    <n v="0"/>
    <n v="0"/>
    <n v="190961"/>
    <m/>
    <n v="173477"/>
    <x v="0"/>
    <s v="Originally planned to have a grant.  Iowa River Restoration Toolbox practices for natural channel design."/>
    <n v="1"/>
  </r>
  <r>
    <x v="7"/>
    <n v="510"/>
    <x v="5"/>
    <x v="3"/>
    <x v="8"/>
    <x v="5"/>
    <x v="58"/>
    <x v="0"/>
    <m/>
    <x v="6"/>
    <s v="Stanley Consultants"/>
    <n v="0"/>
    <n v="0"/>
    <s v="2020/21"/>
    <s v="2020/21"/>
    <d v="2021-11-01T00:00:00"/>
    <d v="2023-06-01T00:00:00"/>
    <s v="2024/25"/>
    <d v="2023-06-01T00:00:00"/>
    <s v="Jesus"/>
    <s v="Dean"/>
    <s v="Keller"/>
    <s v="EDA"/>
    <s v="No"/>
    <n v="0"/>
    <n v="0"/>
    <m/>
    <m/>
    <n v="0"/>
    <m/>
    <m/>
    <n v="0"/>
    <n v="0"/>
    <n v="0"/>
    <s v="Yes"/>
    <n v="0"/>
    <x v="1"/>
    <m/>
    <n v="0"/>
  </r>
  <r>
    <x v="7"/>
    <n v="510"/>
    <x v="5"/>
    <x v="3"/>
    <x v="82"/>
    <x v="5"/>
    <x v="59"/>
    <x v="2"/>
    <n v="380000"/>
    <x v="46"/>
    <s v="Hafiz"/>
    <n v="0"/>
    <n v="0"/>
    <s v="2025/26"/>
    <s v="2025/26"/>
    <d v="2025-10-01T00:00:00"/>
    <m/>
    <s v="2025/26"/>
    <d v="2025-12-31T00:00:00"/>
    <s v="Jesus"/>
    <s v="Hafiz"/>
    <s v="Jet Drain Services, LLC"/>
    <s v="No"/>
    <s v="No"/>
    <n v="330216"/>
    <n v="314426"/>
    <m/>
    <m/>
    <m/>
    <n v="45000"/>
    <m/>
    <n v="375216"/>
    <n v="45000"/>
    <n v="4784"/>
    <s v="No"/>
    <m/>
    <x v="2"/>
    <m/>
    <n v="1"/>
  </r>
  <r>
    <x v="7"/>
    <n v="380"/>
    <x v="2"/>
    <x v="2"/>
    <x v="83"/>
    <x v="6"/>
    <x v="60"/>
    <x v="2"/>
    <n v="220890"/>
    <x v="47"/>
    <s v="WHKS"/>
    <n v="0"/>
    <n v="0"/>
    <s v="2024/25"/>
    <s v="2024/25"/>
    <d v="2025-05-31T00:00:00"/>
    <m/>
    <s v="2025/26"/>
    <d v="2027-12-31T00:00:00"/>
    <s v="Jesus"/>
    <s v="Dean"/>
    <s v="All Star Concrete"/>
    <s v="Yes"/>
    <s v="No"/>
    <n v="220890"/>
    <n v="220890"/>
    <m/>
    <m/>
    <m/>
    <m/>
    <m/>
    <n v="220890"/>
    <n v="0"/>
    <n v="0"/>
    <s v="No"/>
    <n v="65198"/>
    <x v="2"/>
    <m/>
    <n v="0"/>
  </r>
  <r>
    <x v="7"/>
    <n v="381"/>
    <x v="6"/>
    <x v="2"/>
    <x v="84"/>
    <x v="6"/>
    <x v="60"/>
    <x v="2"/>
    <n v="510000"/>
    <x v="47"/>
    <s v="WHKS"/>
    <n v="0"/>
    <n v="0"/>
    <s v="2024/25"/>
    <s v="2024/25"/>
    <d v="2025-05-31T00:00:00"/>
    <m/>
    <s v="2025/26"/>
    <d v="2027-12-31T00:00:00"/>
    <s v="Jesus"/>
    <s v="Dean"/>
    <s v="All Star Concrete"/>
    <s v="Yes"/>
    <s v="No"/>
    <n v="510000"/>
    <n v="510000"/>
    <m/>
    <m/>
    <m/>
    <n v="200000"/>
    <m/>
    <n v="710000"/>
    <n v="200000"/>
    <n v="-200000"/>
    <s v="No"/>
    <n v="163313"/>
    <x v="1"/>
    <s v="Late Start Date 5/19/25."/>
    <n v="0"/>
  </r>
  <r>
    <x v="7"/>
    <n v="320"/>
    <x v="7"/>
    <x v="2"/>
    <x v="85"/>
    <x v="6"/>
    <x v="60"/>
    <x v="2"/>
    <n v="1890000"/>
    <x v="47"/>
    <s v="WHKS"/>
    <n v="142200"/>
    <n v="122018"/>
    <s v="2024/25"/>
    <s v="2024/25"/>
    <d v="2025-05-31T00:00:00"/>
    <m/>
    <s v="2025/26"/>
    <d v="2027-12-31T00:00:00"/>
    <s v="Jesus"/>
    <s v="Dean"/>
    <s v="All Star Concrete"/>
    <s v="Yes"/>
    <s v="No"/>
    <n v="1747800"/>
    <n v="1260304.05"/>
    <m/>
    <m/>
    <m/>
    <n v="263700"/>
    <m/>
    <n v="2153700"/>
    <n v="405900"/>
    <n v="-263700"/>
    <s v="No"/>
    <n v="1890000"/>
    <x v="0"/>
    <s v="Shut down street on 5/19/25.  New shared use path on west.  Full closure on north end (first phase).  One lane w/ temp signals in south to Pammel (second phase).  Adjusting the SW corner with Ontairo for Cyride busses.  Add an additional pad at Oakland stop.  Working with other utilties (Alliant, Mediacom, etc) to relocate and work around lines.  Installing intakes."/>
    <n v="1"/>
  </r>
  <r>
    <x v="7"/>
    <n v="87"/>
    <x v="9"/>
    <x v="3"/>
    <x v="86"/>
    <x v="5"/>
    <x v="61"/>
    <x v="2"/>
    <n v="680000"/>
    <x v="1"/>
    <s v="Hafiz"/>
    <n v="0"/>
    <n v="0"/>
    <s v="2025/26"/>
    <s v="2025/26"/>
    <d v="2025-10-27T00:00:00"/>
    <m/>
    <s v="2025/26"/>
    <d v="2026-12-31T00:00:00"/>
    <s v="Jesus"/>
    <s v="Hafiz"/>
    <s v="Iowa Water &amp; Waste Systems"/>
    <s v="Yes"/>
    <s v="No"/>
    <n v="575908"/>
    <n v="484024.4"/>
    <m/>
    <m/>
    <m/>
    <n v="80000"/>
    <m/>
    <n v="655908"/>
    <n v="80000"/>
    <n v="24092"/>
    <s v="No"/>
    <m/>
    <x v="0"/>
    <m/>
    <n v="1"/>
  </r>
  <r>
    <x v="7"/>
    <n v="560"/>
    <x v="1"/>
    <x v="1"/>
    <x v="87"/>
    <x v="29"/>
    <x v="62"/>
    <x v="1"/>
    <n v="642257"/>
    <x v="1"/>
    <m/>
    <m/>
    <m/>
    <s v="2026/27"/>
    <s v="2026/27"/>
    <m/>
    <m/>
    <s v="2026/27"/>
    <m/>
    <m/>
    <m/>
    <m/>
    <m/>
    <s v="No"/>
    <m/>
    <m/>
    <m/>
    <m/>
    <m/>
    <m/>
    <m/>
    <n v="0"/>
    <n v="0"/>
    <n v="642257"/>
    <m/>
    <n v="637905"/>
    <x v="0"/>
    <s v="Going out for RFP Fall 2025"/>
    <n v="1"/>
  </r>
  <r>
    <x v="7"/>
    <n v="510"/>
    <x v="5"/>
    <x v="3"/>
    <x v="8"/>
    <x v="5"/>
    <x v="63"/>
    <x v="0"/>
    <m/>
    <x v="1"/>
    <m/>
    <m/>
    <m/>
    <s v="2023/24"/>
    <s v="2023/24"/>
    <d v="2023-05-01T00:00:00"/>
    <d v="2023-11-16T00:00:00"/>
    <s v="2023/24"/>
    <d v="2024-12-01T00:00:00"/>
    <s v="Jesus"/>
    <s v="Hafiz"/>
    <m/>
    <s v="ARPA"/>
    <s v="No"/>
    <m/>
    <m/>
    <m/>
    <m/>
    <m/>
    <m/>
    <m/>
    <n v="0"/>
    <n v="0"/>
    <n v="0"/>
    <m/>
    <m/>
    <x v="0"/>
    <m/>
    <n v="1"/>
  </r>
  <r>
    <x v="7"/>
    <n v="381"/>
    <x v="6"/>
    <x v="2"/>
    <x v="88"/>
    <x v="7"/>
    <x v="64"/>
    <x v="2"/>
    <n v="193790"/>
    <x v="48"/>
    <s v="Hafiz"/>
    <n v="0"/>
    <n v="0"/>
    <s v="2024/25"/>
    <s v="2024/25"/>
    <d v="2025-07-21T00:00:00"/>
    <m/>
    <s v="2025/26"/>
    <d v="2027-05-31T00:00:00"/>
    <s v="Scott Shepard"/>
    <s v="Hafiz"/>
    <s v="Manatt's"/>
    <s v="No"/>
    <s v="No"/>
    <n v="193790"/>
    <n v="193790"/>
    <m/>
    <m/>
    <m/>
    <n v="100000"/>
    <m/>
    <n v="293790"/>
    <n v="100000"/>
    <n v="-100000"/>
    <m/>
    <n v="193790"/>
    <x v="0"/>
    <s v="This project inludes new water main and service transfer, pavement removal and replacement, extending sidewalk from Franklin to Oliver"/>
    <n v="1"/>
  </r>
  <r>
    <x v="7"/>
    <n v="510"/>
    <x v="5"/>
    <x v="3"/>
    <x v="8"/>
    <x v="5"/>
    <x v="65"/>
    <x v="0"/>
    <n v="200000"/>
    <x v="49"/>
    <s v="Hafiz"/>
    <n v="0"/>
    <n v="0"/>
    <s v="2024/25"/>
    <s v="2024/25"/>
    <d v="2024-11-01T00:00:00"/>
    <d v="2025-07-15T00:00:00"/>
    <s v="2024/25"/>
    <d v="2025-05-01T00:00:00"/>
    <s v="Scott M"/>
    <s v="Hafiz"/>
    <s v="Iowa Water &amp; Waste Systems"/>
    <s v="No"/>
    <s v="No"/>
    <n v="171856.5"/>
    <n v="104910.5"/>
    <n v="-202"/>
    <n v="20000"/>
    <n v="104708.5"/>
    <n v="20000"/>
    <m/>
    <n v="191856.5"/>
    <n v="124708.5"/>
    <n v="-11856.5"/>
    <s v="No"/>
    <m/>
    <x v="0"/>
    <s v="Emergency Repair for one block.  The rest of the area is in a future project."/>
    <n v="1"/>
  </r>
  <r>
    <x v="7"/>
    <n v="510"/>
    <x v="5"/>
    <x v="3"/>
    <x v="8"/>
    <x v="5"/>
    <x v="66"/>
    <x v="0"/>
    <m/>
    <x v="1"/>
    <m/>
    <m/>
    <m/>
    <s v="2023/24"/>
    <s v="2023/24"/>
    <d v="2023-05-01T00:00:00"/>
    <d v="2023-11-06T00:00:00"/>
    <s v="2023/24"/>
    <d v="2024-12-01T00:00:00"/>
    <s v="Jesus"/>
    <s v="Hafiz"/>
    <m/>
    <s v="ARPA"/>
    <s v="No"/>
    <m/>
    <m/>
    <m/>
    <m/>
    <m/>
    <m/>
    <m/>
    <n v="0"/>
    <n v="0"/>
    <n v="0"/>
    <m/>
    <m/>
    <x v="0"/>
    <m/>
    <n v="1"/>
  </r>
  <r>
    <x v="7"/>
    <n v="382"/>
    <x v="10"/>
    <x v="2"/>
    <x v="89"/>
    <x v="7"/>
    <x v="64"/>
    <x v="2"/>
    <n v="419675"/>
    <x v="48"/>
    <s v="Hafiz"/>
    <n v="0"/>
    <n v="0"/>
    <s v="2024/25"/>
    <s v="2024/25"/>
    <d v="2025-07-21T00:00:00"/>
    <m/>
    <s v="2025/26"/>
    <d v="2027-05-31T00:00:00"/>
    <s v="Scott Shepard"/>
    <s v="Hafiz"/>
    <s v="Manatt's"/>
    <s v="No"/>
    <s v="No"/>
    <n v="261297.95"/>
    <n v="227054.95"/>
    <m/>
    <m/>
    <m/>
    <m/>
    <m/>
    <n v="261297.95"/>
    <n v="0"/>
    <n v="158377.04999999999"/>
    <m/>
    <n v="119328"/>
    <x v="0"/>
    <m/>
    <n v="0"/>
  </r>
  <r>
    <x v="7"/>
    <n v="383"/>
    <x v="13"/>
    <x v="2"/>
    <x v="90"/>
    <x v="7"/>
    <x v="64"/>
    <x v="2"/>
    <n v="124529"/>
    <x v="48"/>
    <s v="Hafiz"/>
    <n v="0"/>
    <n v="0"/>
    <s v="2024/25"/>
    <s v="2024/25"/>
    <d v="2025-07-21T00:00:00"/>
    <m/>
    <s v="2025/26"/>
    <d v="2027-05-31T00:00:00"/>
    <s v="Scott Shepard"/>
    <s v="Hafiz"/>
    <s v="Manatt's"/>
    <s v="No"/>
    <s v="No"/>
    <n v="136535"/>
    <n v="136535"/>
    <n v="9625"/>
    <m/>
    <m/>
    <m/>
    <m/>
    <n v="136535"/>
    <n v="0"/>
    <n v="-12006"/>
    <m/>
    <n v="124529"/>
    <x v="0"/>
    <m/>
    <n v="0"/>
  </r>
  <r>
    <x v="7"/>
    <n v="510"/>
    <x v="5"/>
    <x v="3"/>
    <x v="8"/>
    <x v="5"/>
    <x v="67"/>
    <x v="1"/>
    <n v="1200000"/>
    <x v="1"/>
    <s v="Hafiz"/>
    <n v="0"/>
    <n v="0"/>
    <s v="2024/25"/>
    <s v="2024/25"/>
    <m/>
    <m/>
    <s v="2025/26"/>
    <m/>
    <s v="Jesus"/>
    <s v="Hafiz"/>
    <m/>
    <m/>
    <s v="No"/>
    <m/>
    <m/>
    <m/>
    <m/>
    <m/>
    <m/>
    <m/>
    <n v="0"/>
    <n v="0"/>
    <n v="1200000"/>
    <m/>
    <m/>
    <x v="0"/>
    <m/>
    <n v="1"/>
  </r>
  <r>
    <x v="7"/>
    <n v="60"/>
    <x v="8"/>
    <x v="2"/>
    <x v="91"/>
    <x v="6"/>
    <x v="68"/>
    <x v="5"/>
    <m/>
    <x v="1"/>
    <m/>
    <m/>
    <m/>
    <s v="2027/28"/>
    <s v="2027/28"/>
    <m/>
    <m/>
    <s v="2028/29"/>
    <m/>
    <m/>
    <m/>
    <m/>
    <m/>
    <s v="No"/>
    <m/>
    <m/>
    <m/>
    <m/>
    <m/>
    <m/>
    <m/>
    <n v="0"/>
    <n v="0"/>
    <n v="0"/>
    <m/>
    <m/>
    <x v="0"/>
    <m/>
    <n v="1"/>
  </r>
  <r>
    <x v="7"/>
    <n v="510"/>
    <x v="5"/>
    <x v="3"/>
    <x v="8"/>
    <x v="5"/>
    <x v="64"/>
    <x v="2"/>
    <n v="350000"/>
    <x v="48"/>
    <s v="Hafiz"/>
    <n v="0"/>
    <n v="0"/>
    <s v="2024/25"/>
    <s v="2024/25"/>
    <d v="2025-07-21T00:00:00"/>
    <m/>
    <s v="2025/26"/>
    <d v="2027-05-31T00:00:00"/>
    <s v="Scott Shepard"/>
    <s v="Hafiz"/>
    <s v="Manatt's"/>
    <s v="No"/>
    <s v="No"/>
    <n v="242775"/>
    <n v="242775"/>
    <n v="6050"/>
    <m/>
    <m/>
    <m/>
    <m/>
    <n v="242775"/>
    <n v="0"/>
    <n v="107225"/>
    <m/>
    <n v="0"/>
    <x v="0"/>
    <m/>
    <n v="0"/>
  </r>
  <r>
    <x v="7"/>
    <n v="320"/>
    <x v="7"/>
    <x v="2"/>
    <x v="92"/>
    <x v="27"/>
    <x v="55"/>
    <x v="6"/>
    <n v="2814000"/>
    <x v="1"/>
    <s v="Shive Hattery"/>
    <n v="0"/>
    <n v="0"/>
    <s v="2024/25"/>
    <s v="2024/25"/>
    <d v="2025-06-17T00:00:00"/>
    <m/>
    <s v="2026/27"/>
    <d v="2026-12-31T00:00:00"/>
    <m/>
    <s v="Hafiz"/>
    <s v="Con-Struct"/>
    <s v="Yes"/>
    <s v="Yes"/>
    <n v="3366596.4"/>
    <n v="2867876"/>
    <m/>
    <m/>
    <m/>
    <n v="147750"/>
    <m/>
    <n v="3514346.4"/>
    <n v="147750"/>
    <n v="-700346.39999999991"/>
    <m/>
    <n v="2814000"/>
    <x v="1"/>
    <s v="Widening to 4 lanes and path on both sides.  2-way traffic at all times.  Phase I (this summer) will be the east end.  The trail will be closed for approximatley 1 month.  Contract and bond will go to council on June 10th.  Construction will begin immediately  after signed contract.  Wrap up this phase before August 21st.  Second phase will be next summer after school ends and before first football game."/>
    <n v="0"/>
  </r>
  <r>
    <x v="7"/>
    <n v="383"/>
    <x v="13"/>
    <x v="2"/>
    <x v="93"/>
    <x v="27"/>
    <x v="55"/>
    <x v="2"/>
    <n v="463298"/>
    <x v="1"/>
    <s v="Shive Hattery"/>
    <n v="0"/>
    <n v="0"/>
    <s v="2024/25"/>
    <s v="2024/25"/>
    <d v="2025-06-17T00:00:00"/>
    <m/>
    <s v="2026/27"/>
    <d v="2026-12-31T00:00:00"/>
    <m/>
    <s v="Hafiz"/>
    <s v="Con-Struct"/>
    <s v="Yes"/>
    <s v="Yes"/>
    <n v="463298"/>
    <n v="463298"/>
    <m/>
    <m/>
    <m/>
    <m/>
    <m/>
    <n v="463298"/>
    <n v="0"/>
    <n v="0"/>
    <m/>
    <n v="0"/>
    <x v="1"/>
    <m/>
    <n v="0"/>
  </r>
  <r>
    <x v="7"/>
    <n v="384"/>
    <x v="14"/>
    <x v="2"/>
    <x v="94"/>
    <x v="27"/>
    <x v="55"/>
    <x v="2"/>
    <n v="210669"/>
    <x v="1"/>
    <s v="Shive Hattery"/>
    <n v="302250"/>
    <m/>
    <s v="2024/25"/>
    <s v="2024/25"/>
    <d v="2025-06-17T00:00:00"/>
    <m/>
    <s v="2026/27"/>
    <d v="2026-12-31T00:00:00"/>
    <m/>
    <s v="Hafiz"/>
    <s v="Con-Struct"/>
    <s v="Yes"/>
    <s v="Yes"/>
    <n v="98534.1"/>
    <n v="98534.1"/>
    <m/>
    <m/>
    <m/>
    <m/>
    <m/>
    <n v="400784.1"/>
    <n v="302250"/>
    <n v="-190115.09999999998"/>
    <m/>
    <n v="87158"/>
    <x v="1"/>
    <s v="Apple Place to Vet Med in 2025, Vet Med to University in 2026.  2-way traffic at all times."/>
    <n v="1"/>
  </r>
  <r>
    <x v="7"/>
    <n v="384"/>
    <x v="14"/>
    <x v="2"/>
    <x v="94"/>
    <x v="27"/>
    <x v="55"/>
    <x v="2"/>
    <n v="9970"/>
    <x v="1"/>
    <s v="Shive Hattery"/>
    <n v="0"/>
    <n v="0"/>
    <s v="2024/25"/>
    <s v="2024/25"/>
    <d v="2025-06-17T00:00:00"/>
    <m/>
    <s v="2026/27"/>
    <d v="2026-12-31T00:00:00"/>
    <m/>
    <s v="Hafiz"/>
    <s v="CMT"/>
    <m/>
    <m/>
    <n v="9970"/>
    <n v="9970"/>
    <m/>
    <m/>
    <m/>
    <m/>
    <m/>
    <n v="9970"/>
    <n v="0"/>
    <n v="0"/>
    <m/>
    <n v="0"/>
    <x v="1"/>
    <s v="Construction Testing"/>
    <n v="0"/>
  </r>
  <r>
    <x v="7"/>
    <n v="87"/>
    <x v="9"/>
    <x v="3"/>
    <x v="95"/>
    <x v="5"/>
    <x v="69"/>
    <x v="2"/>
    <n v="700000"/>
    <x v="1"/>
    <s v="Hafiz"/>
    <n v="0"/>
    <n v="0"/>
    <s v="2025/26"/>
    <s v="2025/26"/>
    <d v="2025-10-27T00:00:00"/>
    <m/>
    <s v="2025/26"/>
    <d v="2026-12-31T00:00:00"/>
    <s v="Jesus"/>
    <s v="Hafiz"/>
    <s v="Iowa Water &amp; Waste Systems"/>
    <s v="Yes"/>
    <s v="No"/>
    <n v="600702"/>
    <n v="559321.30000000005"/>
    <m/>
    <m/>
    <m/>
    <n v="90000"/>
    <m/>
    <n v="690702"/>
    <n v="90000"/>
    <n v="9298"/>
    <s v="No"/>
    <m/>
    <x v="0"/>
    <m/>
    <n v="1"/>
  </r>
  <r>
    <x v="5"/>
    <n v="122"/>
    <x v="4"/>
    <x v="0"/>
    <x v="96"/>
    <x v="17"/>
    <x v="70"/>
    <x v="3"/>
    <n v="2300000"/>
    <x v="50"/>
    <s v="WHKS"/>
    <n v="98700"/>
    <n v="98700"/>
    <s v="2024/25"/>
    <s v="2024/25"/>
    <d v="2023-10-23T00:00:00"/>
    <d v="2024-09-01T00:00:00"/>
    <s v="2024/25"/>
    <d v="2024-12-31T00:00:00"/>
    <s v="WHKS"/>
    <s v="Hafiz"/>
    <s v="On-Track"/>
    <s v="No"/>
    <s v="No"/>
    <n v="2833264.5"/>
    <n v="2125500"/>
    <n v="209782.96000000002"/>
    <m/>
    <n v="2282092.96"/>
    <n v="0"/>
    <n v="0"/>
    <n v="2931964.5"/>
    <n v="2380792.96"/>
    <n v="-631964.5"/>
    <s v="No"/>
    <n v="60000"/>
    <x v="0"/>
    <s v="Need to fix boxouts.  Will use leftover funds from south and west."/>
    <n v="1"/>
  </r>
  <r>
    <x v="7"/>
    <n v="520"/>
    <x v="0"/>
    <x v="0"/>
    <x v="0"/>
    <x v="0"/>
    <x v="60"/>
    <x v="2"/>
    <n v="20500"/>
    <x v="47"/>
    <s v="WHKS"/>
    <n v="0"/>
    <n v="0"/>
    <s v="2024/25"/>
    <s v="2024/25"/>
    <d v="2025-05-31T00:00:00"/>
    <m/>
    <s v="2025/26"/>
    <d v="2027-12-31T00:00:00"/>
    <s v="Jesus"/>
    <s v="Dean"/>
    <s v="All Star Concrete"/>
    <s v="Yes"/>
    <s v="No"/>
    <n v="20500"/>
    <n v="20500"/>
    <m/>
    <m/>
    <m/>
    <m/>
    <m/>
    <n v="20500"/>
    <n v="0"/>
    <n v="0"/>
    <s v="No"/>
    <m/>
    <x v="0"/>
    <s v="Late Start Date 5/19/25."/>
    <n v="0"/>
  </r>
  <r>
    <x v="7"/>
    <n v="520"/>
    <x v="0"/>
    <x v="0"/>
    <x v="36"/>
    <x v="17"/>
    <x v="54"/>
    <x v="0"/>
    <n v="200000"/>
    <x v="45"/>
    <s v="WHKS"/>
    <n v="0"/>
    <n v="0"/>
    <s v="2024/25"/>
    <s v="2024/25"/>
    <d v="2025-01-20T00:00:00"/>
    <d v="2025-10-31T00:00:00"/>
    <s v="2024/25"/>
    <d v="2025-12-31T00:00:00"/>
    <s v="WHKS"/>
    <s v="Hafiz"/>
    <s v="S.M. Hentges &amp; Sons, Inc"/>
    <s v="No"/>
    <s v="No"/>
    <n v="0"/>
    <n v="0"/>
    <m/>
    <m/>
    <n v="167994"/>
    <m/>
    <m/>
    <n v="0"/>
    <n v="167994"/>
    <n v="200000"/>
    <s v="No"/>
    <n v="32006"/>
    <x v="0"/>
    <s v="Change order for frost and overexcavation of unsuitable soil."/>
    <n v="0"/>
  </r>
  <r>
    <x v="7"/>
    <n v="520"/>
    <x v="0"/>
    <x v="0"/>
    <x v="59"/>
    <x v="25"/>
    <x v="71"/>
    <x v="0"/>
    <n v="125835"/>
    <x v="51"/>
    <s v="Dean"/>
    <n v="0"/>
    <n v="0"/>
    <s v="2023/24"/>
    <s v="2024/25"/>
    <d v="2024-07-01T00:00:00"/>
    <d v="2025-05-01T00:00:00"/>
    <s v="2024/25"/>
    <d v="2025-05-01T00:00:00"/>
    <m/>
    <s v="Dean"/>
    <s v="Iowa Water &amp; Waste Systems"/>
    <s v="No"/>
    <s v="No"/>
    <n v="108000"/>
    <n v="90681"/>
    <m/>
    <m/>
    <n v="72848"/>
    <n v="12000"/>
    <m/>
    <n v="120000"/>
    <n v="84848"/>
    <n v="5835"/>
    <s v="No"/>
    <m/>
    <x v="0"/>
    <m/>
    <n v="1"/>
  </r>
  <r>
    <x v="7"/>
    <n v="560"/>
    <x v="1"/>
    <x v="1"/>
    <x v="97"/>
    <x v="1"/>
    <x v="72"/>
    <x v="1"/>
    <n v="350000"/>
    <x v="1"/>
    <s v="Hafiz"/>
    <m/>
    <m/>
    <s v="2026/27"/>
    <s v="2026/27"/>
    <m/>
    <m/>
    <s v="2027/28"/>
    <m/>
    <m/>
    <s v="Hafiz"/>
    <m/>
    <s v="No"/>
    <s v="No"/>
    <m/>
    <m/>
    <m/>
    <m/>
    <m/>
    <m/>
    <m/>
    <n v="0"/>
    <n v="0"/>
    <n v="350000"/>
    <m/>
    <n v="350000"/>
    <x v="0"/>
    <m/>
    <n v="1"/>
  </r>
  <r>
    <x v="7"/>
    <n v="560"/>
    <x v="1"/>
    <x v="1"/>
    <x v="98"/>
    <x v="2"/>
    <x v="73"/>
    <x v="5"/>
    <n v="350000"/>
    <x v="1"/>
    <m/>
    <m/>
    <m/>
    <s v="2025/26"/>
    <s v="2026/27"/>
    <m/>
    <m/>
    <s v="2026/27"/>
    <m/>
    <m/>
    <m/>
    <m/>
    <m/>
    <s v="No"/>
    <m/>
    <m/>
    <m/>
    <m/>
    <m/>
    <m/>
    <m/>
    <n v="0"/>
    <n v="0"/>
    <n v="350000"/>
    <m/>
    <n v="35000"/>
    <x v="0"/>
    <m/>
    <n v="1"/>
  </r>
  <r>
    <x v="8"/>
    <n v="560"/>
    <x v="1"/>
    <x v="1"/>
    <x v="17"/>
    <x v="9"/>
    <x v="74"/>
    <x v="0"/>
    <n v="50000"/>
    <x v="1"/>
    <s v="Hafiz"/>
    <n v="0"/>
    <n v="0"/>
    <s v="2025/26"/>
    <s v="2025/26"/>
    <d v="2025-08-01T00:00:00"/>
    <d v="2025-09-15T00:00:00"/>
    <s v="2025/26"/>
    <m/>
    <m/>
    <m/>
    <m/>
    <m/>
    <s v="No"/>
    <n v="49942.46"/>
    <n v="49942.46"/>
    <n v="0"/>
    <m/>
    <n v="49942.46"/>
    <n v="0"/>
    <n v="0"/>
    <n v="49942.46"/>
    <n v="49942.46"/>
    <n v="57.540000000000873"/>
    <m/>
    <n v="0"/>
    <x v="2"/>
    <m/>
    <n v="1"/>
  </r>
  <r>
    <x v="8"/>
    <n v="560"/>
    <x v="1"/>
    <x v="1"/>
    <x v="61"/>
    <x v="2"/>
    <x v="75"/>
    <x v="1"/>
    <n v="500000"/>
    <x v="1"/>
    <s v="Noel"/>
    <n v="0"/>
    <n v="0"/>
    <s v="2025/26"/>
    <s v="2026/27"/>
    <m/>
    <m/>
    <s v="2026/27"/>
    <m/>
    <m/>
    <s v="Mindy/Noel"/>
    <m/>
    <s v="No"/>
    <s v="No"/>
    <m/>
    <m/>
    <m/>
    <m/>
    <m/>
    <m/>
    <m/>
    <n v="0"/>
    <n v="0"/>
    <n v="500000"/>
    <m/>
    <n v="496409"/>
    <x v="0"/>
    <s v="6th and Duff - reported flooded intersection in 2016_x000a_20th &amp; Northwestern - talk with Dean_x000a_S Bell &amp; S 16h - curve holds water.  Ditch cleaning by our own crews?_x000a_Grove &amp; River Oak - ?  Basement flooded at 3113 Northwood Dr in 2016."/>
    <n v="1"/>
  </r>
  <r>
    <x v="8"/>
    <n v="386"/>
    <x v="16"/>
    <x v="2"/>
    <x v="99"/>
    <x v="30"/>
    <x v="76"/>
    <x v="1"/>
    <n v="400000"/>
    <x v="1"/>
    <s v="Hafiz"/>
    <n v="0"/>
    <n v="0"/>
    <s v="2025/26"/>
    <s v="2025/26"/>
    <m/>
    <m/>
    <s v="2026/27"/>
    <m/>
    <m/>
    <s v="Hafiz"/>
    <m/>
    <s v="No"/>
    <s v="No"/>
    <n v="160000"/>
    <m/>
    <m/>
    <m/>
    <m/>
    <n v="21400"/>
    <m/>
    <n v="181400"/>
    <n v="21400"/>
    <n v="218600"/>
    <m/>
    <n v="399271"/>
    <x v="0"/>
    <s v="PCC alley - no known utility upgrades needed"/>
    <n v="1"/>
  </r>
  <r>
    <x v="8"/>
    <n v="386"/>
    <x v="16"/>
    <x v="2"/>
    <x v="100"/>
    <x v="7"/>
    <x v="77"/>
    <x v="1"/>
    <n v="500000"/>
    <x v="1"/>
    <s v="Stanley Consultants"/>
    <n v="72000"/>
    <m/>
    <s v="2025/26"/>
    <s v="2025/26"/>
    <m/>
    <m/>
    <s v="2026/27"/>
    <d v="2026-12-31T00:00:00"/>
    <m/>
    <s v="Dean"/>
    <m/>
    <s v="No"/>
    <s v="Yes"/>
    <n v="254015.5"/>
    <m/>
    <m/>
    <m/>
    <m/>
    <n v="123000"/>
    <m/>
    <n v="449015.5"/>
    <n v="195000"/>
    <n v="50984.5"/>
    <m/>
    <n v="427330"/>
    <x v="1"/>
    <s v="PCC Pavement; Cyride Route; Sections of sanitary sewer rated 4, sanitary structures with chemical/structural damage one east end._x000a_Paid $2200 for UPRR Maintenance Agreement."/>
    <n v="1"/>
  </r>
  <r>
    <x v="8"/>
    <n v="30"/>
    <x v="11"/>
    <x v="5"/>
    <x v="101"/>
    <x v="11"/>
    <x v="77"/>
    <x v="1"/>
    <n v="100000"/>
    <x v="1"/>
    <s v="Stanley Consultants"/>
    <n v="0"/>
    <m/>
    <s v="2025/26"/>
    <s v="2025/26"/>
    <m/>
    <m/>
    <s v="2026/27"/>
    <d v="2026-12-31T00:00:00"/>
    <m/>
    <s v="Dean"/>
    <m/>
    <s v="No"/>
    <s v="Yes"/>
    <n v="103371"/>
    <m/>
    <m/>
    <m/>
    <m/>
    <n v="0"/>
    <n v="0"/>
    <n v="103371"/>
    <n v="0"/>
    <n v="-3371"/>
    <m/>
    <n v="100000"/>
    <x v="1"/>
    <s v="Path from Stange to 500' west of Eisenhower.  Included in Bloomington Project."/>
    <n v="0"/>
  </r>
  <r>
    <x v="8"/>
    <n v="320"/>
    <x v="7"/>
    <x v="2"/>
    <x v="102"/>
    <x v="7"/>
    <x v="77"/>
    <x v="1"/>
    <n v="700000"/>
    <x v="1"/>
    <s v="Stanley Consultants"/>
    <n v="0"/>
    <m/>
    <s v="2025/26"/>
    <s v="2025/26"/>
    <m/>
    <m/>
    <s v="2026/27"/>
    <d v="2026-12-31T00:00:00"/>
    <m/>
    <s v="Dean"/>
    <m/>
    <s v="No"/>
    <s v="Yes"/>
    <n v="700000"/>
    <m/>
    <m/>
    <m/>
    <m/>
    <n v="0"/>
    <n v="0"/>
    <n v="700000"/>
    <n v="0"/>
    <n v="0"/>
    <m/>
    <n v="700000"/>
    <x v="1"/>
    <m/>
    <n v="0"/>
  </r>
  <r>
    <x v="8"/>
    <n v="520"/>
    <x v="0"/>
    <x v="0"/>
    <x v="103"/>
    <x v="0"/>
    <x v="78"/>
    <x v="1"/>
    <n v="80000"/>
    <x v="1"/>
    <s v="WHKS"/>
    <n v="0"/>
    <m/>
    <s v="2025/26"/>
    <s v="2025/26"/>
    <m/>
    <m/>
    <s v="2026/27"/>
    <d v="2027-06-30T00:00:00"/>
    <m/>
    <s v="Dean"/>
    <m/>
    <m/>
    <s v="No"/>
    <n v="69900"/>
    <m/>
    <m/>
    <m/>
    <m/>
    <n v="0"/>
    <n v="0"/>
    <n v="69900"/>
    <n v="0"/>
    <n v="10100"/>
    <m/>
    <m/>
    <x v="1"/>
    <m/>
    <n v="0"/>
  </r>
  <r>
    <x v="8"/>
    <n v="386"/>
    <x v="16"/>
    <x v="2"/>
    <x v="104"/>
    <x v="3"/>
    <x v="78"/>
    <x v="1"/>
    <n v="1450000"/>
    <x v="1"/>
    <s v="WHKS"/>
    <n v="321000"/>
    <m/>
    <s v="2025/26"/>
    <s v="2025/26"/>
    <m/>
    <m/>
    <s v="2026/27"/>
    <d v="2027-06-30T00:00:00"/>
    <m/>
    <s v="Dean"/>
    <m/>
    <s v="No"/>
    <s v="No"/>
    <n v="963667.75"/>
    <m/>
    <m/>
    <m/>
    <m/>
    <n v="129000"/>
    <m/>
    <n v="1413667.75"/>
    <n v="450000"/>
    <n v="36332.25"/>
    <m/>
    <n v="1899250.5"/>
    <x v="1"/>
    <s v="Clark is a potential future Cy-Ride Route from 9th to 13th.  Need to look at turning at 13th for busses."/>
    <n v="1"/>
  </r>
  <r>
    <x v="8"/>
    <n v="510"/>
    <x v="5"/>
    <x v="3"/>
    <x v="105"/>
    <x v="5"/>
    <x v="79"/>
    <x v="1"/>
    <n v="512000"/>
    <x v="1"/>
    <s v="WHKS"/>
    <n v="0"/>
    <n v="0"/>
    <s v="2025/26"/>
    <s v="2025/26"/>
    <m/>
    <m/>
    <s v="2026/27"/>
    <d v="2027-06-30T00:00:00"/>
    <m/>
    <s v="Dean"/>
    <m/>
    <s v="No"/>
    <s v="No"/>
    <n v="511375"/>
    <m/>
    <m/>
    <m/>
    <m/>
    <n v="0"/>
    <n v="0"/>
    <n v="511375"/>
    <n v="0"/>
    <n v="625"/>
    <m/>
    <m/>
    <x v="1"/>
    <m/>
    <n v="0"/>
  </r>
  <r>
    <x v="8"/>
    <n v="520"/>
    <x v="0"/>
    <x v="0"/>
    <x v="106"/>
    <x v="25"/>
    <x v="79"/>
    <x v="1"/>
    <n v="53000"/>
    <x v="1"/>
    <s v="WHKS"/>
    <n v="0"/>
    <n v="0"/>
    <s v="2025/26"/>
    <s v="2025/26"/>
    <m/>
    <m/>
    <s v="2026/27"/>
    <d v="2027-06-30T00:00:00"/>
    <m/>
    <s v="Dean"/>
    <m/>
    <s v="No"/>
    <s v="No"/>
    <n v="52500"/>
    <m/>
    <m/>
    <m/>
    <m/>
    <n v="0"/>
    <n v="0"/>
    <n v="52500"/>
    <n v="0"/>
    <n v="500"/>
    <m/>
    <m/>
    <x v="1"/>
    <m/>
    <n v="0"/>
  </r>
  <r>
    <x v="8"/>
    <n v="560"/>
    <x v="1"/>
    <x v="1"/>
    <x v="107"/>
    <x v="20"/>
    <x v="80"/>
    <x v="5"/>
    <n v="50000"/>
    <x v="1"/>
    <s v="Dean"/>
    <n v="0"/>
    <m/>
    <s v="2025/26"/>
    <s v="2025/26"/>
    <m/>
    <m/>
    <s v="2025/26"/>
    <m/>
    <m/>
    <m/>
    <m/>
    <m/>
    <m/>
    <n v="10000"/>
    <m/>
    <m/>
    <m/>
    <m/>
    <n v="40000"/>
    <m/>
    <n v="50000"/>
    <n v="40000"/>
    <n v="0"/>
    <m/>
    <m/>
    <x v="2"/>
    <m/>
    <n v="0"/>
  </r>
  <r>
    <x v="8"/>
    <n v="520"/>
    <x v="0"/>
    <x v="0"/>
    <x v="108"/>
    <x v="20"/>
    <x v="80"/>
    <x v="5"/>
    <n v="75000"/>
    <x v="1"/>
    <s v="Dean"/>
    <n v="0"/>
    <m/>
    <s v="2025/26"/>
    <s v="2025/26"/>
    <m/>
    <m/>
    <s v="2025/26"/>
    <m/>
    <m/>
    <m/>
    <m/>
    <m/>
    <m/>
    <n v="35000"/>
    <m/>
    <m/>
    <m/>
    <m/>
    <n v="40000"/>
    <m/>
    <n v="75000"/>
    <n v="40000"/>
    <n v="0"/>
    <m/>
    <m/>
    <x v="2"/>
    <m/>
    <n v="0"/>
  </r>
  <r>
    <x v="8"/>
    <n v="60"/>
    <x v="8"/>
    <x v="2"/>
    <x v="109"/>
    <x v="20"/>
    <x v="80"/>
    <x v="5"/>
    <n v="125000"/>
    <x v="1"/>
    <s v="Dean"/>
    <n v="0"/>
    <m/>
    <s v="2025/26"/>
    <s v="2025/26"/>
    <m/>
    <m/>
    <s v="2025/26"/>
    <m/>
    <m/>
    <m/>
    <m/>
    <m/>
    <m/>
    <n v="85000"/>
    <m/>
    <m/>
    <m/>
    <m/>
    <n v="40000"/>
    <m/>
    <n v="125000"/>
    <n v="40000"/>
    <n v="0"/>
    <m/>
    <m/>
    <x v="2"/>
    <m/>
    <n v="0"/>
  </r>
  <r>
    <x v="8"/>
    <n v="510"/>
    <x v="5"/>
    <x v="3"/>
    <x v="110"/>
    <x v="20"/>
    <x v="80"/>
    <x v="5"/>
    <n v="75000"/>
    <x v="1"/>
    <s v="Dean"/>
    <n v="0"/>
    <m/>
    <s v="2025/26"/>
    <s v="2025/26"/>
    <m/>
    <m/>
    <s v="2025/26"/>
    <m/>
    <m/>
    <m/>
    <m/>
    <m/>
    <m/>
    <n v="35000"/>
    <m/>
    <m/>
    <m/>
    <m/>
    <n v="40000"/>
    <m/>
    <n v="75000"/>
    <n v="40000"/>
    <n v="0"/>
    <m/>
    <m/>
    <x v="2"/>
    <m/>
    <n v="0"/>
  </r>
  <r>
    <x v="8"/>
    <n v="383"/>
    <x v="13"/>
    <x v="2"/>
    <x v="111"/>
    <x v="23"/>
    <x v="81"/>
    <x v="1"/>
    <n v="250000"/>
    <x v="1"/>
    <s v="Hafiz"/>
    <n v="0"/>
    <n v="0"/>
    <s v="2025/26"/>
    <s v="2025/26"/>
    <m/>
    <m/>
    <m/>
    <m/>
    <m/>
    <s v="Hafiz"/>
    <m/>
    <s v="No"/>
    <s v="No"/>
    <n v="180000"/>
    <m/>
    <m/>
    <m/>
    <m/>
    <n v="24000"/>
    <m/>
    <n v="204000"/>
    <n v="24000"/>
    <n v="46000"/>
    <m/>
    <n v="250000"/>
    <x v="2"/>
    <m/>
    <n v="1"/>
  </r>
  <r>
    <x v="8"/>
    <n v="60"/>
    <x v="8"/>
    <x v="10"/>
    <x v="44"/>
    <x v="19"/>
    <x v="82"/>
    <x v="1"/>
    <n v="150000"/>
    <x v="1"/>
    <s v="Hafiz"/>
    <n v="0"/>
    <n v="0"/>
    <s v="2025/26"/>
    <s v="2025/26"/>
    <m/>
    <m/>
    <s v="2026/27"/>
    <m/>
    <m/>
    <s v="Hafiz"/>
    <m/>
    <s v="No"/>
    <s v="No"/>
    <n v="330959"/>
    <m/>
    <m/>
    <m/>
    <m/>
    <n v="0"/>
    <m/>
    <n v="330959"/>
    <n v="0"/>
    <n v="-180959"/>
    <m/>
    <n v="481421"/>
    <x v="0"/>
    <m/>
    <n v="1"/>
  </r>
  <r>
    <x v="8"/>
    <n v="386"/>
    <x v="16"/>
    <x v="2"/>
    <x v="112"/>
    <x v="12"/>
    <x v="82"/>
    <x v="1"/>
    <n v="1000000"/>
    <x v="1"/>
    <s v="Hafiz"/>
    <n v="0"/>
    <n v="0"/>
    <s v="2025/26"/>
    <s v="2025/26"/>
    <m/>
    <m/>
    <s v="2026/27"/>
    <m/>
    <m/>
    <s v="Hafiz"/>
    <m/>
    <s v="No"/>
    <s v="No"/>
    <n v="1884000"/>
    <m/>
    <m/>
    <m/>
    <m/>
    <n v="200000"/>
    <m/>
    <n v="2084000"/>
    <n v="200000"/>
    <n v="-1084000"/>
    <m/>
    <n v="1480000"/>
    <x v="0"/>
    <m/>
    <n v="0"/>
  </r>
  <r>
    <x v="8"/>
    <n v="510"/>
    <x v="5"/>
    <x v="3"/>
    <x v="8"/>
    <x v="5"/>
    <x v="82"/>
    <x v="1"/>
    <n v="680000"/>
    <x v="1"/>
    <s v="Hafiz"/>
    <n v="0"/>
    <n v="0"/>
    <s v="2025/26"/>
    <s v="2025/26"/>
    <m/>
    <m/>
    <s v="2026/27"/>
    <m/>
    <m/>
    <s v="Hafiz"/>
    <m/>
    <s v="No"/>
    <s v="No"/>
    <n v="587875"/>
    <m/>
    <m/>
    <m/>
    <m/>
    <n v="0"/>
    <m/>
    <n v="587875"/>
    <n v="0"/>
    <n v="92125"/>
    <m/>
    <n v="680000"/>
    <x v="0"/>
    <m/>
    <n v="0"/>
  </r>
  <r>
    <x v="8"/>
    <n v="520"/>
    <x v="0"/>
    <x v="0"/>
    <x v="113"/>
    <x v="0"/>
    <x v="83"/>
    <x v="1"/>
    <n v="68000"/>
    <x v="1"/>
    <s v="WHKS"/>
    <n v="0"/>
    <m/>
    <s v="2026/27"/>
    <s v="2026/27"/>
    <m/>
    <m/>
    <s v="2027/28"/>
    <m/>
    <m/>
    <s v="Mark"/>
    <m/>
    <s v="No"/>
    <s v="No"/>
    <n v="68000"/>
    <m/>
    <m/>
    <m/>
    <m/>
    <n v="0"/>
    <m/>
    <n v="68000"/>
    <n v="0"/>
    <n v="0"/>
    <m/>
    <m/>
    <x v="2"/>
    <m/>
    <n v="1"/>
  </r>
  <r>
    <x v="8"/>
    <n v="510"/>
    <x v="5"/>
    <x v="3"/>
    <x v="114"/>
    <x v="5"/>
    <x v="83"/>
    <x v="1"/>
    <n v="690000"/>
    <x v="1"/>
    <s v="WHKS"/>
    <n v="0"/>
    <n v="0"/>
    <s v="2026/27"/>
    <s v="2026/27"/>
    <m/>
    <m/>
    <s v="2027/28"/>
    <m/>
    <m/>
    <s v="Mark"/>
    <m/>
    <s v="No"/>
    <s v="No"/>
    <n v="690000"/>
    <m/>
    <m/>
    <m/>
    <m/>
    <n v="0"/>
    <m/>
    <n v="690000"/>
    <n v="0"/>
    <n v="0"/>
    <m/>
    <m/>
    <x v="2"/>
    <m/>
    <n v="0"/>
  </r>
  <r>
    <x v="8"/>
    <n v="520"/>
    <x v="0"/>
    <x v="0"/>
    <x v="115"/>
    <x v="0"/>
    <x v="84"/>
    <x v="7"/>
    <n v="400000"/>
    <x v="1"/>
    <s v="WHKS"/>
    <n v="14000"/>
    <n v="7844"/>
    <s v="2025/26"/>
    <s v="2025/26"/>
    <m/>
    <m/>
    <m/>
    <m/>
    <s v="Jared"/>
    <s v="Mindy"/>
    <s v="Peterson Contractors Inc."/>
    <m/>
    <m/>
    <n v="350000"/>
    <n v="322189.3"/>
    <m/>
    <m/>
    <m/>
    <n v="14000"/>
    <m/>
    <n v="378000"/>
    <n v="28000"/>
    <n v="22000"/>
    <s v="No"/>
    <n v="386000"/>
    <x v="0"/>
    <s v="This will be administered by the IDOT.  City staff will need to inspect construction and approve payment"/>
    <n v="1"/>
  </r>
  <r>
    <x v="8"/>
    <n v="560"/>
    <x v="1"/>
    <x v="1"/>
    <x v="116"/>
    <x v="9"/>
    <x v="85"/>
    <x v="1"/>
    <n v="60000"/>
    <x v="1"/>
    <s v="HR Green"/>
    <n v="0"/>
    <m/>
    <s v="2025/26"/>
    <s v="2025/26"/>
    <m/>
    <m/>
    <s v="2026/27"/>
    <m/>
    <m/>
    <s v="Hafiz"/>
    <m/>
    <s v="No"/>
    <s v="No"/>
    <n v="57000"/>
    <m/>
    <m/>
    <m/>
    <m/>
    <n v="0"/>
    <m/>
    <n v="57000"/>
    <n v="0"/>
    <n v="3000"/>
    <m/>
    <m/>
    <x v="1"/>
    <m/>
    <n v="0"/>
  </r>
  <r>
    <x v="8"/>
    <n v="520"/>
    <x v="0"/>
    <x v="0"/>
    <x v="117"/>
    <x v="0"/>
    <x v="85"/>
    <x v="1"/>
    <n v="100000"/>
    <x v="1"/>
    <s v="HR Green"/>
    <n v="0"/>
    <m/>
    <s v="2025/26"/>
    <s v="2025/26"/>
    <m/>
    <m/>
    <s v="2026/27"/>
    <m/>
    <m/>
    <s v="Hafiz"/>
    <m/>
    <s v="No"/>
    <s v="No"/>
    <n v="80000"/>
    <m/>
    <m/>
    <m/>
    <m/>
    <n v="0"/>
    <m/>
    <n v="80000"/>
    <n v="0"/>
    <n v="20000"/>
    <m/>
    <m/>
    <x v="1"/>
    <m/>
    <n v="0"/>
  </r>
  <r>
    <x v="8"/>
    <n v="386"/>
    <x v="16"/>
    <x v="2"/>
    <x v="118"/>
    <x v="14"/>
    <x v="85"/>
    <x v="1"/>
    <n v="4000000"/>
    <x v="1"/>
    <s v="HR Green"/>
    <n v="302000"/>
    <m/>
    <s v="2025/26"/>
    <s v="2025/26"/>
    <m/>
    <m/>
    <s v="2026/27"/>
    <m/>
    <m/>
    <s v="Hafiz"/>
    <m/>
    <s v="No"/>
    <s v="No"/>
    <n v="3340000"/>
    <m/>
    <m/>
    <m/>
    <m/>
    <n v="300000"/>
    <m/>
    <n v="3942000"/>
    <n v="602000"/>
    <n v="58000"/>
    <m/>
    <m/>
    <x v="1"/>
    <s v="1 Bid Package"/>
    <n v="1"/>
  </r>
  <r>
    <x v="8"/>
    <n v="510"/>
    <x v="5"/>
    <x v="3"/>
    <x v="119"/>
    <x v="5"/>
    <x v="85"/>
    <x v="1"/>
    <n v="229999.99999999997"/>
    <x v="1"/>
    <s v="HR Green"/>
    <n v="0"/>
    <n v="0"/>
    <s v="2025/26"/>
    <s v="2025/26"/>
    <m/>
    <m/>
    <s v="2026/27"/>
    <m/>
    <m/>
    <s v="Hafiz"/>
    <m/>
    <s v="No"/>
    <s v="No"/>
    <n v="200000"/>
    <m/>
    <m/>
    <m/>
    <m/>
    <n v="0"/>
    <m/>
    <n v="200000"/>
    <n v="0"/>
    <n v="29999.999999999971"/>
    <m/>
    <m/>
    <x v="1"/>
    <s v="Ellis"/>
    <n v="0"/>
  </r>
  <r>
    <x v="8"/>
    <n v="520"/>
    <x v="0"/>
    <x v="0"/>
    <x v="0"/>
    <x v="0"/>
    <x v="86"/>
    <x v="1"/>
    <n v="0"/>
    <x v="1"/>
    <s v="WHKS"/>
    <n v="13400"/>
    <m/>
    <s v="2025/26"/>
    <s v="2025/26"/>
    <m/>
    <m/>
    <m/>
    <m/>
    <m/>
    <s v="Mindy"/>
    <m/>
    <m/>
    <m/>
    <n v="148640"/>
    <m/>
    <m/>
    <m/>
    <m/>
    <n v="15000"/>
    <m/>
    <n v="177040"/>
    <n v="28400"/>
    <n v="-177040"/>
    <m/>
    <m/>
    <x v="2"/>
    <m/>
    <n v="1"/>
  </r>
  <r>
    <x v="8"/>
    <n v="560"/>
    <x v="1"/>
    <x v="1"/>
    <x v="120"/>
    <x v="9"/>
    <x v="87"/>
    <x v="1"/>
    <n v="270000"/>
    <x v="1"/>
    <s v="WHKS"/>
    <n v="0"/>
    <n v="0"/>
    <s v="2025/26"/>
    <s v="2025/26"/>
    <m/>
    <m/>
    <s v="2026/27"/>
    <d v="2027-06-30T00:00:00"/>
    <m/>
    <s v="Dean"/>
    <m/>
    <s v="No"/>
    <s v="No"/>
    <n v="268050"/>
    <m/>
    <m/>
    <m/>
    <m/>
    <n v="0"/>
    <m/>
    <n v="268050"/>
    <n v="0"/>
    <n v="1950"/>
    <m/>
    <m/>
    <x v="2"/>
    <m/>
    <n v="0"/>
  </r>
  <r>
    <x v="8"/>
    <n v="520"/>
    <x v="0"/>
    <x v="0"/>
    <x v="121"/>
    <x v="0"/>
    <x v="87"/>
    <x v="1"/>
    <n v="95000"/>
    <x v="1"/>
    <s v="WHKS"/>
    <n v="0"/>
    <n v="0"/>
    <s v="2025/26"/>
    <s v="2025/26"/>
    <m/>
    <m/>
    <s v="2026/27"/>
    <d v="2027-06-30T00:00:00"/>
    <m/>
    <s v="Dean"/>
    <m/>
    <s v="No"/>
    <s v="No"/>
    <n v="93000"/>
    <m/>
    <m/>
    <m/>
    <m/>
    <n v="0"/>
    <m/>
    <n v="93000"/>
    <n v="0"/>
    <n v="2000"/>
    <m/>
    <m/>
    <x v="2"/>
    <m/>
    <n v="0"/>
  </r>
  <r>
    <x v="8"/>
    <n v="386"/>
    <x v="16"/>
    <x v="2"/>
    <x v="122"/>
    <x v="3"/>
    <x v="87"/>
    <x v="1"/>
    <n v="1100000"/>
    <x v="1"/>
    <s v="WHKS"/>
    <n v="0"/>
    <n v="0"/>
    <s v="2025/26"/>
    <s v="2025/26"/>
    <m/>
    <m/>
    <s v="2026/27"/>
    <d v="2027-06-30T00:00:00"/>
    <m/>
    <s v="Dean"/>
    <m/>
    <s v="No"/>
    <s v="No"/>
    <n v="958272.13"/>
    <m/>
    <m/>
    <m/>
    <m/>
    <n v="130000"/>
    <m/>
    <n v="1088272.1299999999"/>
    <n v="130000"/>
    <n v="11727.870000000112"/>
    <m/>
    <n v="1899250.5"/>
    <x v="1"/>
    <m/>
    <n v="1"/>
  </r>
  <r>
    <x v="8"/>
    <n v="510"/>
    <x v="5"/>
    <x v="3"/>
    <x v="123"/>
    <x v="5"/>
    <x v="87"/>
    <x v="1"/>
    <n v="340000"/>
    <x v="1"/>
    <s v="WHKS"/>
    <n v="0"/>
    <n v="0"/>
    <s v="2025/26"/>
    <s v="2025/26"/>
    <m/>
    <m/>
    <s v="2026/27"/>
    <d v="2027-06-30T00:00:00"/>
    <m/>
    <s v="Dean"/>
    <m/>
    <s v="No"/>
    <s v="No"/>
    <n v="333490"/>
    <m/>
    <m/>
    <m/>
    <m/>
    <n v="0"/>
    <m/>
    <n v="333490"/>
    <n v="0"/>
    <n v="6510"/>
    <m/>
    <m/>
    <x v="2"/>
    <m/>
    <n v="0"/>
  </r>
  <r>
    <x v="8"/>
    <n v="560"/>
    <x v="1"/>
    <x v="1"/>
    <x v="32"/>
    <x v="15"/>
    <x v="88"/>
    <x v="1"/>
    <n v="100000"/>
    <x v="1"/>
    <m/>
    <m/>
    <m/>
    <s v="2025/26"/>
    <s v="2025/26"/>
    <m/>
    <m/>
    <s v="2026/27"/>
    <d v="2027-06-30T00:00:00"/>
    <m/>
    <m/>
    <m/>
    <m/>
    <m/>
    <m/>
    <m/>
    <m/>
    <m/>
    <m/>
    <m/>
    <m/>
    <n v="0"/>
    <n v="0"/>
    <n v="100000"/>
    <m/>
    <m/>
    <x v="2"/>
    <m/>
    <n v="1"/>
  </r>
  <r>
    <x v="8"/>
    <n v="560"/>
    <x v="1"/>
    <x v="1"/>
    <x v="124"/>
    <x v="1"/>
    <x v="89"/>
    <x v="1"/>
    <n v="850000"/>
    <x v="1"/>
    <s v="Bolten &amp; Menk"/>
    <n v="90000"/>
    <m/>
    <s v="2025/26"/>
    <s v="2025/26"/>
    <m/>
    <m/>
    <s v="2026/27"/>
    <d v="2027-06-30T00:00:00"/>
    <m/>
    <s v="Noel"/>
    <m/>
    <s v="No"/>
    <s v="No"/>
    <n v="670000"/>
    <m/>
    <m/>
    <m/>
    <m/>
    <n v="90000"/>
    <m/>
    <n v="850000"/>
    <n v="180000"/>
    <n v="0"/>
    <m/>
    <n v="612000"/>
    <x v="1"/>
    <m/>
    <n v="1"/>
  </r>
  <r>
    <x v="9"/>
    <n v="320"/>
    <x v="7"/>
    <x v="2"/>
    <x v="125"/>
    <x v="6"/>
    <x v="90"/>
    <x v="5"/>
    <n v="2880000"/>
    <x v="1"/>
    <m/>
    <m/>
    <m/>
    <s v="2026/27"/>
    <s v="2026/27"/>
    <m/>
    <m/>
    <s v="2027/28"/>
    <m/>
    <m/>
    <s v="Dean"/>
    <m/>
    <m/>
    <s v="Yes"/>
    <m/>
    <m/>
    <m/>
    <m/>
    <m/>
    <m/>
    <m/>
    <n v="0"/>
    <n v="0"/>
    <n v="2880000"/>
    <m/>
    <m/>
    <x v="1"/>
    <s v="MPO/STP Funds and G.O. Bonds."/>
    <n v="0"/>
  </r>
  <r>
    <x v="9"/>
    <n v="387"/>
    <x v="17"/>
    <x v="2"/>
    <x v="126"/>
    <x v="6"/>
    <x v="90"/>
    <x v="5"/>
    <n v="1260000"/>
    <x v="1"/>
    <m/>
    <m/>
    <m/>
    <s v="2026/27"/>
    <s v="2026/27"/>
    <m/>
    <m/>
    <s v="2027/28"/>
    <m/>
    <m/>
    <s v="Dean"/>
    <m/>
    <m/>
    <s v="Yes"/>
    <m/>
    <m/>
    <m/>
    <m/>
    <m/>
    <n v="650000"/>
    <m/>
    <n v="650000"/>
    <n v="650000"/>
    <n v="610000"/>
    <m/>
    <m/>
    <x v="2"/>
    <m/>
    <n v="1"/>
  </r>
  <r>
    <x v="9"/>
    <n v="387"/>
    <x v="17"/>
    <x v="2"/>
    <x v="126"/>
    <x v="14"/>
    <x v="91"/>
    <x v="5"/>
    <n v="2340000"/>
    <x v="1"/>
    <m/>
    <m/>
    <m/>
    <s v="2026/27"/>
    <s v="2026/27"/>
    <m/>
    <m/>
    <s v="2027/28"/>
    <m/>
    <m/>
    <m/>
    <m/>
    <m/>
    <s v="No"/>
    <m/>
    <m/>
    <m/>
    <m/>
    <m/>
    <m/>
    <m/>
    <n v="0"/>
    <n v="0"/>
    <n v="2340000"/>
    <m/>
    <m/>
    <x v="0"/>
    <m/>
    <n v="1"/>
  </r>
  <r>
    <x v="9"/>
    <n v="520"/>
    <x v="0"/>
    <x v="0"/>
    <x v="108"/>
    <x v="25"/>
    <x v="92"/>
    <x v="5"/>
    <n v="150000"/>
    <x v="1"/>
    <m/>
    <m/>
    <m/>
    <s v="2026/27"/>
    <s v="2026/27"/>
    <m/>
    <m/>
    <s v="2027/28"/>
    <m/>
    <m/>
    <m/>
    <m/>
    <m/>
    <s v="No"/>
    <m/>
    <m/>
    <m/>
    <m/>
    <m/>
    <m/>
    <m/>
    <n v="0"/>
    <n v="0"/>
    <n v="150000"/>
    <m/>
    <m/>
    <x v="0"/>
    <m/>
    <n v="0"/>
  </r>
  <r>
    <x v="9"/>
    <n v="387"/>
    <x v="17"/>
    <x v="2"/>
    <x v="126"/>
    <x v="7"/>
    <x v="93"/>
    <x v="5"/>
    <n v="2800000"/>
    <x v="1"/>
    <m/>
    <m/>
    <m/>
    <s v="2026/27"/>
    <s v="2026/27"/>
    <m/>
    <m/>
    <s v="2027/28"/>
    <m/>
    <m/>
    <m/>
    <m/>
    <m/>
    <s v="No"/>
    <m/>
    <m/>
    <m/>
    <m/>
    <m/>
    <n v="500000"/>
    <m/>
    <n v="500000"/>
    <n v="500000"/>
    <n v="2300000"/>
    <m/>
    <m/>
    <x v="2"/>
    <s v="$500,000 is all engineering costs"/>
    <n v="1"/>
  </r>
  <r>
    <x v="9"/>
    <n v="387"/>
    <x v="17"/>
    <x v="2"/>
    <x v="127"/>
    <x v="3"/>
    <x v="94"/>
    <x v="5"/>
    <n v="3350000"/>
    <x v="1"/>
    <m/>
    <m/>
    <m/>
    <s v="2026/27"/>
    <s v="2026/27"/>
    <m/>
    <m/>
    <s v="2027/28"/>
    <m/>
    <m/>
    <m/>
    <m/>
    <m/>
    <s v="No"/>
    <m/>
    <m/>
    <m/>
    <m/>
    <m/>
    <m/>
    <m/>
    <n v="0"/>
    <n v="0"/>
    <n v="3350000"/>
    <m/>
    <m/>
    <x v="0"/>
    <m/>
    <n v="1"/>
  </r>
  <r>
    <x v="9"/>
    <n v="383"/>
    <x v="13"/>
    <x v="2"/>
    <x v="128"/>
    <x v="21"/>
    <x v="95"/>
    <x v="5"/>
    <n v="2000000"/>
    <x v="1"/>
    <m/>
    <m/>
    <m/>
    <s v="2026/27"/>
    <s v="2026/27"/>
    <m/>
    <m/>
    <s v="2027/28"/>
    <m/>
    <m/>
    <m/>
    <m/>
    <m/>
    <s v="No"/>
    <m/>
    <m/>
    <m/>
    <m/>
    <m/>
    <m/>
    <m/>
    <n v="0"/>
    <n v="0"/>
    <n v="2000000"/>
    <m/>
    <m/>
    <x v="0"/>
    <s v="The bus pullout on the north at the NW corner of Lincoln and Lynn is an issue.  Busses hit the curb and damage bottom."/>
    <n v="1"/>
  </r>
  <r>
    <x v="9"/>
    <n v="560"/>
    <x v="1"/>
    <x v="1"/>
    <x v="129"/>
    <x v="31"/>
    <x v="96"/>
    <x v="5"/>
    <n v="150000"/>
    <x v="1"/>
    <m/>
    <m/>
    <m/>
    <s v="2026/27"/>
    <s v="2026/27"/>
    <m/>
    <m/>
    <s v="2027/28"/>
    <m/>
    <m/>
    <m/>
    <m/>
    <m/>
    <s v="No"/>
    <m/>
    <m/>
    <m/>
    <m/>
    <m/>
    <m/>
    <m/>
    <n v="0"/>
    <n v="0"/>
    <n v="150000"/>
    <m/>
    <m/>
    <x v="0"/>
    <s v="Residential stormwater management facilities"/>
    <n v="1"/>
  </r>
  <r>
    <x v="9"/>
    <n v="560"/>
    <x v="1"/>
    <x v="1"/>
    <x v="107"/>
    <x v="2"/>
    <x v="97"/>
    <x v="5"/>
    <n v="250000"/>
    <x v="1"/>
    <m/>
    <m/>
    <m/>
    <s v="2026/27"/>
    <s v="2026/27"/>
    <m/>
    <m/>
    <s v="2027/28"/>
    <m/>
    <m/>
    <m/>
    <m/>
    <m/>
    <s v="No"/>
    <m/>
    <m/>
    <m/>
    <m/>
    <m/>
    <m/>
    <m/>
    <n v="0"/>
    <n v="0"/>
    <n v="250000"/>
    <m/>
    <m/>
    <x v="0"/>
    <m/>
    <n v="1"/>
  </r>
  <r>
    <x v="9"/>
    <n v="560"/>
    <x v="1"/>
    <x v="1"/>
    <x v="107"/>
    <x v="2"/>
    <x v="98"/>
    <x v="5"/>
    <m/>
    <x v="1"/>
    <m/>
    <m/>
    <m/>
    <s v="2026/27"/>
    <s v="2026/27"/>
    <m/>
    <m/>
    <s v="2027/28"/>
    <m/>
    <m/>
    <m/>
    <m/>
    <m/>
    <m/>
    <m/>
    <m/>
    <m/>
    <m/>
    <m/>
    <m/>
    <m/>
    <n v="0"/>
    <n v="0"/>
    <n v="0"/>
    <m/>
    <m/>
    <x v="2"/>
    <m/>
    <n v="1"/>
  </r>
  <r>
    <x v="9"/>
    <n v="60"/>
    <x v="8"/>
    <x v="10"/>
    <x v="44"/>
    <x v="19"/>
    <x v="92"/>
    <x v="5"/>
    <n v="150000"/>
    <x v="1"/>
    <m/>
    <m/>
    <m/>
    <s v="2026/27"/>
    <s v="2026/27"/>
    <m/>
    <m/>
    <s v="2027/28"/>
    <m/>
    <m/>
    <m/>
    <m/>
    <m/>
    <s v="No"/>
    <m/>
    <m/>
    <m/>
    <m/>
    <m/>
    <m/>
    <m/>
    <n v="0"/>
    <n v="0"/>
    <n v="150000"/>
    <m/>
    <m/>
    <x v="0"/>
    <m/>
    <n v="0"/>
  </r>
  <r>
    <x v="9"/>
    <n v="560"/>
    <x v="1"/>
    <x v="1"/>
    <x v="107"/>
    <x v="20"/>
    <x v="80"/>
    <x v="5"/>
    <n v="50000"/>
    <x v="1"/>
    <s v="Dean"/>
    <n v="0"/>
    <m/>
    <s v="2026/27"/>
    <s v="2026/27"/>
    <m/>
    <m/>
    <s v="2027/28"/>
    <m/>
    <m/>
    <m/>
    <m/>
    <m/>
    <m/>
    <m/>
    <m/>
    <m/>
    <m/>
    <m/>
    <m/>
    <m/>
    <n v="0"/>
    <n v="0"/>
    <n v="50000"/>
    <m/>
    <m/>
    <x v="2"/>
    <m/>
    <n v="0"/>
  </r>
  <r>
    <x v="9"/>
    <n v="520"/>
    <x v="0"/>
    <x v="0"/>
    <x v="108"/>
    <x v="20"/>
    <x v="80"/>
    <x v="5"/>
    <n v="75000"/>
    <x v="1"/>
    <s v="Dean"/>
    <n v="0"/>
    <m/>
    <s v="2026/27"/>
    <s v="2026/27"/>
    <m/>
    <m/>
    <s v="2027/28"/>
    <m/>
    <m/>
    <m/>
    <m/>
    <m/>
    <m/>
    <m/>
    <m/>
    <m/>
    <m/>
    <m/>
    <m/>
    <m/>
    <n v="0"/>
    <n v="0"/>
    <n v="75000"/>
    <m/>
    <m/>
    <x v="2"/>
    <m/>
    <n v="0"/>
  </r>
  <r>
    <x v="9"/>
    <n v="60"/>
    <x v="8"/>
    <x v="2"/>
    <x v="91"/>
    <x v="20"/>
    <x v="80"/>
    <x v="5"/>
    <n v="125000"/>
    <x v="1"/>
    <s v="Dean"/>
    <n v="0"/>
    <m/>
    <s v="2026/27"/>
    <s v="2026/27"/>
    <m/>
    <m/>
    <s v="2027/28"/>
    <m/>
    <m/>
    <m/>
    <m/>
    <m/>
    <m/>
    <m/>
    <m/>
    <m/>
    <m/>
    <m/>
    <m/>
    <m/>
    <n v="0"/>
    <n v="0"/>
    <n v="125000"/>
    <m/>
    <m/>
    <x v="2"/>
    <m/>
    <n v="0"/>
  </r>
  <r>
    <x v="9"/>
    <n v="510"/>
    <x v="5"/>
    <x v="3"/>
    <x v="110"/>
    <x v="20"/>
    <x v="80"/>
    <x v="5"/>
    <n v="75000"/>
    <x v="1"/>
    <s v="Dean"/>
    <n v="0"/>
    <m/>
    <s v="2026/27"/>
    <s v="2026/27"/>
    <m/>
    <m/>
    <s v="2027/28"/>
    <m/>
    <m/>
    <m/>
    <m/>
    <m/>
    <m/>
    <m/>
    <m/>
    <m/>
    <m/>
    <m/>
    <m/>
    <m/>
    <n v="0"/>
    <n v="0"/>
    <n v="75000"/>
    <m/>
    <m/>
    <x v="2"/>
    <m/>
    <n v="0"/>
  </r>
  <r>
    <x v="9"/>
    <n v="520"/>
    <x v="0"/>
    <x v="0"/>
    <x v="108"/>
    <x v="0"/>
    <x v="90"/>
    <x v="5"/>
    <n v="610000"/>
    <x v="1"/>
    <m/>
    <m/>
    <m/>
    <s v="2026/27"/>
    <s v="2026/27"/>
    <m/>
    <m/>
    <s v="2027/28"/>
    <m/>
    <m/>
    <s v="Dean"/>
    <m/>
    <m/>
    <s v="Yes"/>
    <m/>
    <m/>
    <m/>
    <m/>
    <m/>
    <m/>
    <m/>
    <n v="0"/>
    <n v="0"/>
    <n v="610000"/>
    <m/>
    <m/>
    <x v="2"/>
    <m/>
    <n v="0"/>
  </r>
  <r>
    <x v="9"/>
    <n v="520"/>
    <x v="0"/>
    <x v="0"/>
    <x v="108"/>
    <x v="0"/>
    <x v="94"/>
    <x v="5"/>
    <n v="30000"/>
    <x v="1"/>
    <m/>
    <m/>
    <m/>
    <s v="2026/27"/>
    <s v="2026/27"/>
    <m/>
    <m/>
    <s v="2027/28"/>
    <m/>
    <m/>
    <m/>
    <m/>
    <m/>
    <m/>
    <m/>
    <m/>
    <m/>
    <m/>
    <m/>
    <m/>
    <m/>
    <n v="0"/>
    <n v="0"/>
    <n v="30000"/>
    <m/>
    <m/>
    <x v="2"/>
    <m/>
    <n v="0"/>
  </r>
  <r>
    <x v="9"/>
    <n v="520"/>
    <x v="0"/>
    <x v="0"/>
    <x v="108"/>
    <x v="0"/>
    <x v="91"/>
    <x v="5"/>
    <n v="70000"/>
    <x v="1"/>
    <m/>
    <m/>
    <m/>
    <s v="2026/27"/>
    <s v="2026/27"/>
    <m/>
    <m/>
    <s v="2027/28"/>
    <m/>
    <m/>
    <m/>
    <m/>
    <m/>
    <m/>
    <m/>
    <m/>
    <m/>
    <m/>
    <m/>
    <m/>
    <m/>
    <n v="0"/>
    <n v="0"/>
    <n v="70000"/>
    <m/>
    <m/>
    <x v="2"/>
    <m/>
    <n v="0"/>
  </r>
  <r>
    <x v="9"/>
    <n v="387"/>
    <x v="17"/>
    <x v="2"/>
    <x v="126"/>
    <x v="12"/>
    <x v="92"/>
    <x v="5"/>
    <n v="900000"/>
    <x v="1"/>
    <m/>
    <m/>
    <m/>
    <s v="2026/27"/>
    <s v="2026/27"/>
    <m/>
    <m/>
    <s v="2027/28"/>
    <m/>
    <m/>
    <m/>
    <m/>
    <m/>
    <s v="No"/>
    <m/>
    <m/>
    <m/>
    <m/>
    <m/>
    <m/>
    <m/>
    <n v="0"/>
    <n v="0"/>
    <n v="900000"/>
    <m/>
    <m/>
    <x v="0"/>
    <m/>
    <n v="1"/>
  </r>
  <r>
    <x v="9"/>
    <n v="560"/>
    <x v="1"/>
    <x v="1"/>
    <x v="130"/>
    <x v="1"/>
    <x v="99"/>
    <x v="5"/>
    <n v="350000"/>
    <x v="1"/>
    <s v="Noel"/>
    <n v="0"/>
    <m/>
    <s v="2026/27"/>
    <s v="2026/27"/>
    <m/>
    <m/>
    <s v="2027/28"/>
    <m/>
    <m/>
    <s v="Noel"/>
    <m/>
    <s v="No"/>
    <s v="No"/>
    <n v="300000"/>
    <m/>
    <m/>
    <m/>
    <m/>
    <n v="50000"/>
    <m/>
    <n v="350000"/>
    <n v="50000"/>
    <n v="0"/>
    <m/>
    <n v="-683"/>
    <x v="0"/>
    <s v="On hold until funds become available (10/28/25)"/>
    <n v="1"/>
  </r>
  <r>
    <x v="9"/>
    <n v="560"/>
    <x v="1"/>
    <x v="1"/>
    <x v="127"/>
    <x v="1"/>
    <x v="100"/>
    <x v="5"/>
    <n v="200000"/>
    <x v="1"/>
    <m/>
    <m/>
    <m/>
    <s v="2026/27"/>
    <s v="2026/27"/>
    <m/>
    <m/>
    <s v="2027/28"/>
    <m/>
    <m/>
    <s v="Noel"/>
    <m/>
    <s v="No"/>
    <s v="No"/>
    <m/>
    <m/>
    <m/>
    <m/>
    <m/>
    <m/>
    <m/>
    <n v="0"/>
    <n v="0"/>
    <n v="200000"/>
    <m/>
    <m/>
    <x v="0"/>
    <m/>
    <n v="1"/>
  </r>
  <r>
    <x v="9"/>
    <n v="510"/>
    <x v="5"/>
    <x v="3"/>
    <x v="110"/>
    <x v="5"/>
    <x v="90"/>
    <x v="5"/>
    <n v="300000"/>
    <x v="1"/>
    <m/>
    <m/>
    <m/>
    <s v="2026/27"/>
    <s v="2026/27"/>
    <m/>
    <s v="2027/28"/>
    <s v="2027/28"/>
    <m/>
    <m/>
    <s v="Dean"/>
    <m/>
    <m/>
    <s v="Yes"/>
    <m/>
    <m/>
    <m/>
    <m/>
    <m/>
    <m/>
    <m/>
    <n v="0"/>
    <n v="0"/>
    <n v="300000"/>
    <m/>
    <m/>
    <x v="2"/>
    <m/>
    <n v="0"/>
  </r>
  <r>
    <x v="10"/>
    <n v="387"/>
    <x v="17"/>
    <x v="2"/>
    <x v="131"/>
    <x v="7"/>
    <x v="101"/>
    <x v="5"/>
    <n v="1500000"/>
    <x v="1"/>
    <m/>
    <m/>
    <m/>
    <s v="2027/28"/>
    <s v="2027/28"/>
    <m/>
    <m/>
    <s v="2027/28"/>
    <m/>
    <m/>
    <m/>
    <m/>
    <m/>
    <s v="No"/>
    <m/>
    <m/>
    <m/>
    <m/>
    <m/>
    <m/>
    <m/>
    <n v="0"/>
    <n v="0"/>
    <n v="1500000"/>
    <m/>
    <m/>
    <x v="0"/>
    <s v="Replace or slipe line sanitary (currently not in budget)?, water is 6&quot;, 8 lead services."/>
    <n v="1"/>
  </r>
  <r>
    <x v="10"/>
    <n v="560"/>
    <x v="1"/>
    <x v="1"/>
    <x v="107"/>
    <x v="20"/>
    <x v="80"/>
    <x v="5"/>
    <n v="50000"/>
    <x v="1"/>
    <s v="Dean"/>
    <n v="0"/>
    <m/>
    <s v="2027/28"/>
    <s v="2027/28"/>
    <m/>
    <m/>
    <s v="2027/28"/>
    <m/>
    <m/>
    <m/>
    <m/>
    <m/>
    <m/>
    <m/>
    <m/>
    <m/>
    <m/>
    <m/>
    <m/>
    <m/>
    <n v="0"/>
    <n v="0"/>
    <n v="50000"/>
    <m/>
    <m/>
    <x v="2"/>
    <m/>
    <n v="0"/>
  </r>
  <r>
    <x v="10"/>
    <n v="520"/>
    <x v="0"/>
    <x v="0"/>
    <x v="108"/>
    <x v="0"/>
    <x v="102"/>
    <x v="5"/>
    <n v="850000"/>
    <x v="1"/>
    <m/>
    <m/>
    <m/>
    <s v="2027/28"/>
    <s v="2027/28"/>
    <m/>
    <m/>
    <s v="2027/28"/>
    <m/>
    <m/>
    <m/>
    <m/>
    <m/>
    <m/>
    <m/>
    <m/>
    <m/>
    <m/>
    <m/>
    <m/>
    <m/>
    <n v="0"/>
    <n v="0"/>
    <n v="850000"/>
    <m/>
    <m/>
    <x v="2"/>
    <m/>
    <n v="1"/>
  </r>
  <r>
    <x v="10"/>
    <n v="520"/>
    <x v="0"/>
    <x v="0"/>
    <x v="108"/>
    <x v="20"/>
    <x v="80"/>
    <x v="5"/>
    <n v="75000"/>
    <x v="1"/>
    <s v="Dean"/>
    <n v="0"/>
    <m/>
    <s v="2027/28"/>
    <s v="2027/28"/>
    <m/>
    <m/>
    <s v="2027/28"/>
    <m/>
    <m/>
    <m/>
    <m/>
    <m/>
    <m/>
    <m/>
    <m/>
    <m/>
    <m/>
    <m/>
    <m/>
    <m/>
    <n v="0"/>
    <n v="0"/>
    <n v="75000"/>
    <m/>
    <m/>
    <x v="2"/>
    <m/>
    <n v="0"/>
  </r>
  <r>
    <x v="10"/>
    <n v="388"/>
    <x v="18"/>
    <x v="2"/>
    <x v="132"/>
    <x v="7"/>
    <x v="103"/>
    <x v="5"/>
    <n v="1500000"/>
    <x v="1"/>
    <m/>
    <m/>
    <m/>
    <s v="2027/28"/>
    <s v="2027/28"/>
    <m/>
    <m/>
    <s v="2028/29"/>
    <m/>
    <m/>
    <m/>
    <m/>
    <m/>
    <s v="No"/>
    <m/>
    <m/>
    <m/>
    <m/>
    <m/>
    <m/>
    <m/>
    <n v="0"/>
    <n v="0"/>
    <n v="1500000"/>
    <m/>
    <m/>
    <x v="0"/>
    <m/>
    <n v="1"/>
  </r>
  <r>
    <x v="10"/>
    <m/>
    <x v="19"/>
    <x v="11"/>
    <x v="127"/>
    <x v="32"/>
    <x v="104"/>
    <x v="5"/>
    <m/>
    <x v="1"/>
    <m/>
    <m/>
    <m/>
    <s v="2027/28"/>
    <s v="2027/28"/>
    <m/>
    <m/>
    <s v="2028/29"/>
    <m/>
    <m/>
    <m/>
    <m/>
    <m/>
    <s v="No"/>
    <m/>
    <m/>
    <m/>
    <m/>
    <m/>
    <m/>
    <m/>
    <n v="0"/>
    <n v="0"/>
    <n v="0"/>
    <m/>
    <m/>
    <x v="0"/>
    <s v="Increase drainage capacity"/>
    <n v="1"/>
  </r>
  <r>
    <x v="10"/>
    <n v="60"/>
    <x v="8"/>
    <x v="10"/>
    <x v="44"/>
    <x v="19"/>
    <x v="105"/>
    <x v="5"/>
    <n v="150000"/>
    <x v="1"/>
    <m/>
    <m/>
    <m/>
    <s v="2027/28"/>
    <s v="2027/28"/>
    <m/>
    <m/>
    <s v="2028/29"/>
    <m/>
    <m/>
    <m/>
    <m/>
    <m/>
    <s v="No"/>
    <m/>
    <m/>
    <m/>
    <m/>
    <m/>
    <m/>
    <m/>
    <n v="0"/>
    <n v="0"/>
    <n v="150000"/>
    <m/>
    <m/>
    <x v="0"/>
    <m/>
    <n v="0"/>
  </r>
  <r>
    <x v="10"/>
    <n v="388"/>
    <x v="18"/>
    <x v="2"/>
    <x v="127"/>
    <x v="12"/>
    <x v="105"/>
    <x v="5"/>
    <n v="750000"/>
    <x v="1"/>
    <m/>
    <m/>
    <m/>
    <s v="2027/28"/>
    <s v="2027/28"/>
    <m/>
    <m/>
    <s v="2028/29"/>
    <m/>
    <m/>
    <m/>
    <m/>
    <m/>
    <s v="No"/>
    <m/>
    <m/>
    <m/>
    <m/>
    <m/>
    <m/>
    <m/>
    <n v="0"/>
    <n v="0"/>
    <n v="750000"/>
    <m/>
    <m/>
    <x v="0"/>
    <m/>
    <n v="1"/>
  </r>
  <r>
    <x v="10"/>
    <n v="388"/>
    <x v="18"/>
    <x v="2"/>
    <x v="133"/>
    <x v="14"/>
    <x v="106"/>
    <x v="5"/>
    <n v="4500000"/>
    <x v="1"/>
    <m/>
    <m/>
    <m/>
    <s v="2027/28"/>
    <s v="2027/28"/>
    <m/>
    <m/>
    <s v="2028/29"/>
    <m/>
    <m/>
    <m/>
    <m/>
    <m/>
    <s v="No"/>
    <m/>
    <m/>
    <m/>
    <m/>
    <m/>
    <m/>
    <m/>
    <n v="0"/>
    <n v="0"/>
    <n v="4500000"/>
    <m/>
    <m/>
    <x v="0"/>
    <m/>
    <n v="1"/>
  </r>
  <r>
    <x v="10"/>
    <n v="388"/>
    <x v="18"/>
    <x v="2"/>
    <x v="133"/>
    <x v="6"/>
    <x v="102"/>
    <x v="5"/>
    <n v="1105000"/>
    <x v="1"/>
    <m/>
    <m/>
    <m/>
    <s v="2027/28"/>
    <s v="2027/28"/>
    <m/>
    <m/>
    <s v="2028/29"/>
    <m/>
    <m/>
    <m/>
    <m/>
    <m/>
    <s v="No"/>
    <m/>
    <m/>
    <m/>
    <m/>
    <m/>
    <m/>
    <m/>
    <n v="0"/>
    <n v="0"/>
    <n v="1105000"/>
    <m/>
    <m/>
    <x v="0"/>
    <s v="Mill and Overlay - 3&quot;"/>
    <n v="1"/>
  </r>
  <r>
    <x v="10"/>
    <n v="388"/>
    <x v="18"/>
    <x v="2"/>
    <x v="127"/>
    <x v="21"/>
    <x v="107"/>
    <x v="5"/>
    <n v="1600000"/>
    <x v="1"/>
    <m/>
    <m/>
    <m/>
    <s v="2027/28"/>
    <s v="2027/28"/>
    <m/>
    <m/>
    <s v="2028/29"/>
    <m/>
    <m/>
    <m/>
    <m/>
    <m/>
    <s v="No"/>
    <m/>
    <m/>
    <m/>
    <m/>
    <m/>
    <m/>
    <m/>
    <n v="0"/>
    <n v="0"/>
    <n v="1600000"/>
    <m/>
    <m/>
    <x v="0"/>
    <m/>
    <n v="1"/>
  </r>
  <r>
    <x v="10"/>
    <n v="388"/>
    <x v="18"/>
    <x v="2"/>
    <x v="127"/>
    <x v="30"/>
    <x v="108"/>
    <x v="5"/>
    <n v="400000"/>
    <x v="1"/>
    <m/>
    <m/>
    <m/>
    <s v="2027/28"/>
    <s v="2027/28"/>
    <m/>
    <m/>
    <s v="2027/28"/>
    <m/>
    <m/>
    <m/>
    <m/>
    <m/>
    <s v="No"/>
    <m/>
    <m/>
    <m/>
    <m/>
    <m/>
    <m/>
    <m/>
    <n v="0"/>
    <n v="0"/>
    <n v="400000"/>
    <m/>
    <m/>
    <x v="0"/>
    <m/>
    <n v="1"/>
  </r>
  <r>
    <x v="10"/>
    <n v="389"/>
    <x v="20"/>
    <x v="2"/>
    <x v="127"/>
    <x v="30"/>
    <x v="109"/>
    <x v="5"/>
    <n v="400000"/>
    <x v="1"/>
    <m/>
    <m/>
    <m/>
    <s v="2027/28"/>
    <s v="2027/28"/>
    <m/>
    <m/>
    <s v="2028/29"/>
    <m/>
    <m/>
    <m/>
    <m/>
    <m/>
    <s v="No"/>
    <m/>
    <m/>
    <m/>
    <m/>
    <m/>
    <m/>
    <m/>
    <n v="0"/>
    <n v="0"/>
    <n v="400000"/>
    <m/>
    <m/>
    <x v="0"/>
    <m/>
    <n v="1"/>
  </r>
  <r>
    <x v="10"/>
    <n v="388"/>
    <x v="18"/>
    <x v="2"/>
    <x v="127"/>
    <x v="3"/>
    <x v="110"/>
    <x v="5"/>
    <n v="1300000"/>
    <x v="1"/>
    <m/>
    <m/>
    <m/>
    <s v="2027/28"/>
    <s v="2027/28"/>
    <m/>
    <m/>
    <s v="2028/29"/>
    <m/>
    <m/>
    <m/>
    <m/>
    <m/>
    <s v="No"/>
    <m/>
    <m/>
    <m/>
    <m/>
    <m/>
    <m/>
    <m/>
    <n v="0"/>
    <n v="0"/>
    <n v="1300000"/>
    <m/>
    <m/>
    <x v="0"/>
    <m/>
    <n v="1"/>
  </r>
  <r>
    <x v="10"/>
    <n v="60"/>
    <x v="8"/>
    <x v="2"/>
    <x v="91"/>
    <x v="20"/>
    <x v="80"/>
    <x v="5"/>
    <n v="125000"/>
    <x v="1"/>
    <s v="Dean"/>
    <n v="0"/>
    <m/>
    <s v="2027/28"/>
    <s v="2027/28"/>
    <m/>
    <m/>
    <s v="2027/28"/>
    <m/>
    <m/>
    <m/>
    <m/>
    <m/>
    <m/>
    <m/>
    <m/>
    <m/>
    <m/>
    <m/>
    <m/>
    <m/>
    <n v="0"/>
    <n v="0"/>
    <n v="125000"/>
    <m/>
    <m/>
    <x v="2"/>
    <m/>
    <n v="0"/>
  </r>
  <r>
    <x v="10"/>
    <n v="510"/>
    <x v="5"/>
    <x v="3"/>
    <x v="110"/>
    <x v="20"/>
    <x v="80"/>
    <x v="5"/>
    <n v="75000"/>
    <x v="1"/>
    <s v="Dean"/>
    <n v="0"/>
    <m/>
    <s v="2027/28"/>
    <s v="2027/28"/>
    <m/>
    <m/>
    <s v="2027/28"/>
    <m/>
    <m/>
    <m/>
    <m/>
    <m/>
    <m/>
    <m/>
    <m/>
    <m/>
    <m/>
    <m/>
    <m/>
    <m/>
    <n v="0"/>
    <n v="0"/>
    <n v="75000"/>
    <m/>
    <m/>
    <x v="2"/>
    <m/>
    <n v="0"/>
  </r>
  <r>
    <x v="10"/>
    <n v="510"/>
    <x v="5"/>
    <x v="1"/>
    <x v="110"/>
    <x v="33"/>
    <x v="1"/>
    <x v="5"/>
    <n v="600000"/>
    <x v="1"/>
    <m/>
    <m/>
    <m/>
    <s v="2027/28"/>
    <s v="2027/28"/>
    <m/>
    <m/>
    <s v="2028/29"/>
    <m/>
    <m/>
    <m/>
    <m/>
    <m/>
    <s v="No"/>
    <m/>
    <m/>
    <m/>
    <m/>
    <m/>
    <m/>
    <m/>
    <n v="0"/>
    <n v="0"/>
    <n v="600000"/>
    <m/>
    <m/>
    <x v="0"/>
    <s v="Increase drainage capacity"/>
    <n v="1"/>
  </r>
  <r>
    <x v="10"/>
    <n v="560"/>
    <x v="1"/>
    <x v="1"/>
    <x v="127"/>
    <x v="1"/>
    <x v="111"/>
    <x v="5"/>
    <n v="750000"/>
    <x v="1"/>
    <m/>
    <m/>
    <m/>
    <s v="2027/28"/>
    <s v="2027/28"/>
    <m/>
    <m/>
    <s v="2028/29"/>
    <m/>
    <m/>
    <m/>
    <m/>
    <m/>
    <s v="No"/>
    <m/>
    <m/>
    <m/>
    <m/>
    <m/>
    <m/>
    <m/>
    <n v="0"/>
    <n v="0"/>
    <n v="750000"/>
    <m/>
    <m/>
    <x v="0"/>
    <m/>
    <n v="1"/>
  </r>
  <r>
    <x v="11"/>
    <n v="560"/>
    <x v="1"/>
    <x v="1"/>
    <x v="107"/>
    <x v="20"/>
    <x v="80"/>
    <x v="5"/>
    <n v="50000"/>
    <x v="1"/>
    <s v="Dean"/>
    <n v="0"/>
    <m/>
    <s v="2028/29"/>
    <s v="2028/29"/>
    <m/>
    <m/>
    <s v="2028/29"/>
    <m/>
    <m/>
    <m/>
    <m/>
    <m/>
    <m/>
    <m/>
    <m/>
    <m/>
    <m/>
    <m/>
    <m/>
    <m/>
    <n v="0"/>
    <n v="0"/>
    <n v="50000"/>
    <m/>
    <m/>
    <x v="2"/>
    <m/>
    <n v="0"/>
  </r>
  <r>
    <x v="11"/>
    <n v="520"/>
    <x v="0"/>
    <x v="0"/>
    <x v="108"/>
    <x v="20"/>
    <x v="80"/>
    <x v="5"/>
    <n v="75000"/>
    <x v="1"/>
    <s v="Dean"/>
    <n v="0"/>
    <m/>
    <s v="2028/29"/>
    <s v="2028/29"/>
    <m/>
    <m/>
    <s v="2028/29"/>
    <m/>
    <m/>
    <m/>
    <m/>
    <m/>
    <m/>
    <m/>
    <m/>
    <m/>
    <m/>
    <m/>
    <m/>
    <m/>
    <n v="0"/>
    <n v="0"/>
    <n v="75000"/>
    <m/>
    <m/>
    <x v="2"/>
    <m/>
    <n v="0"/>
  </r>
  <r>
    <x v="11"/>
    <n v="60"/>
    <x v="8"/>
    <x v="10"/>
    <x v="44"/>
    <x v="19"/>
    <x v="112"/>
    <x v="5"/>
    <n v="150000"/>
    <x v="1"/>
    <m/>
    <m/>
    <m/>
    <s v="2028/29"/>
    <s v="2028/29"/>
    <m/>
    <m/>
    <s v="2029/30"/>
    <m/>
    <m/>
    <m/>
    <m/>
    <m/>
    <s v="No"/>
    <m/>
    <m/>
    <m/>
    <m/>
    <m/>
    <m/>
    <m/>
    <n v="0"/>
    <n v="0"/>
    <n v="150000"/>
    <m/>
    <m/>
    <x v="0"/>
    <m/>
    <n v="0"/>
  </r>
  <r>
    <x v="11"/>
    <n v="389"/>
    <x v="20"/>
    <x v="2"/>
    <x v="127"/>
    <x v="12"/>
    <x v="112"/>
    <x v="5"/>
    <n v="1000000"/>
    <x v="1"/>
    <m/>
    <m/>
    <m/>
    <s v="2028/29"/>
    <s v="2028/29"/>
    <m/>
    <m/>
    <s v="2029/30"/>
    <m/>
    <m/>
    <m/>
    <m/>
    <m/>
    <s v="No"/>
    <m/>
    <m/>
    <m/>
    <m/>
    <m/>
    <m/>
    <m/>
    <n v="0"/>
    <n v="0"/>
    <n v="1000000"/>
    <m/>
    <m/>
    <x v="0"/>
    <m/>
    <n v="1"/>
  </r>
  <r>
    <x v="11"/>
    <m/>
    <x v="19"/>
    <x v="10"/>
    <x v="127"/>
    <x v="34"/>
    <x v="113"/>
    <x v="5"/>
    <n v="1250000"/>
    <x v="1"/>
    <m/>
    <m/>
    <m/>
    <s v="2028/29"/>
    <s v="2028/29"/>
    <m/>
    <m/>
    <s v="2029/30"/>
    <m/>
    <m/>
    <m/>
    <m/>
    <m/>
    <s v="No"/>
    <m/>
    <m/>
    <m/>
    <m/>
    <m/>
    <m/>
    <m/>
    <n v="0"/>
    <n v="0"/>
    <n v="1250000"/>
    <m/>
    <m/>
    <x v="0"/>
    <s v="Design in 2028/29 and Construction in 2029/30"/>
    <n v="1"/>
  </r>
  <r>
    <x v="11"/>
    <n v="389"/>
    <x v="20"/>
    <x v="2"/>
    <x v="134"/>
    <x v="14"/>
    <x v="114"/>
    <x v="5"/>
    <n v="3000000"/>
    <x v="1"/>
    <m/>
    <m/>
    <m/>
    <s v="2028/29"/>
    <s v="2028/29"/>
    <m/>
    <m/>
    <s v="2029/30"/>
    <m/>
    <m/>
    <m/>
    <m/>
    <m/>
    <s v="No"/>
    <m/>
    <m/>
    <m/>
    <m/>
    <m/>
    <m/>
    <m/>
    <n v="0"/>
    <n v="0"/>
    <n v="3000000"/>
    <m/>
    <m/>
    <x v="0"/>
    <s v="Busses park on Dickinson to wait.  We don't see an issue with this to require a dedicated bus pull out lane."/>
    <n v="1"/>
  </r>
  <r>
    <x v="11"/>
    <n v="389"/>
    <x v="20"/>
    <x v="2"/>
    <x v="127"/>
    <x v="3"/>
    <x v="115"/>
    <x v="5"/>
    <n v="3600000"/>
    <x v="1"/>
    <m/>
    <m/>
    <m/>
    <s v="2028/29"/>
    <s v="2028/29"/>
    <m/>
    <m/>
    <s v="2027/28"/>
    <m/>
    <m/>
    <m/>
    <m/>
    <m/>
    <s v="No"/>
    <m/>
    <m/>
    <m/>
    <m/>
    <m/>
    <m/>
    <m/>
    <n v="0"/>
    <n v="0"/>
    <n v="3600000"/>
    <m/>
    <m/>
    <x v="0"/>
    <m/>
    <n v="1"/>
  </r>
  <r>
    <x v="11"/>
    <n v="389"/>
    <x v="20"/>
    <x v="2"/>
    <x v="127"/>
    <x v="21"/>
    <x v="116"/>
    <x v="5"/>
    <n v="2400000"/>
    <x v="1"/>
    <m/>
    <m/>
    <m/>
    <s v="2028/29"/>
    <s v="2028/29"/>
    <m/>
    <m/>
    <s v="2029/30"/>
    <m/>
    <m/>
    <m/>
    <m/>
    <m/>
    <s v="No"/>
    <m/>
    <m/>
    <m/>
    <m/>
    <m/>
    <m/>
    <m/>
    <n v="0"/>
    <n v="0"/>
    <n v="2400000"/>
    <m/>
    <m/>
    <x v="0"/>
    <m/>
    <n v="1"/>
  </r>
  <r>
    <x v="11"/>
    <n v="510"/>
    <x v="5"/>
    <x v="3"/>
    <x v="110"/>
    <x v="5"/>
    <x v="117"/>
    <x v="5"/>
    <n v="75000"/>
    <x v="1"/>
    <m/>
    <m/>
    <m/>
    <s v="2028/29"/>
    <s v="2028/29"/>
    <m/>
    <m/>
    <s v="2029/30"/>
    <m/>
    <m/>
    <m/>
    <m/>
    <m/>
    <m/>
    <m/>
    <m/>
    <m/>
    <m/>
    <m/>
    <m/>
    <m/>
    <n v="0"/>
    <n v="0"/>
    <n v="75000"/>
    <m/>
    <m/>
    <x v="2"/>
    <s v="Replace 6&quot; Cast Iron from 20th to Douglas"/>
    <m/>
  </r>
  <r>
    <x v="11"/>
    <n v="389"/>
    <x v="20"/>
    <x v="2"/>
    <x v="134"/>
    <x v="6"/>
    <x v="117"/>
    <x v="5"/>
    <n v="800000"/>
    <x v="1"/>
    <m/>
    <m/>
    <m/>
    <s v="2028/29"/>
    <s v="2028/29"/>
    <m/>
    <m/>
    <s v="2029/30"/>
    <m/>
    <m/>
    <m/>
    <m/>
    <s v="Yes"/>
    <s v="Yes"/>
    <m/>
    <m/>
    <m/>
    <m/>
    <m/>
    <n v="300000"/>
    <m/>
    <n v="300000"/>
    <n v="300000"/>
    <n v="500000"/>
    <m/>
    <m/>
    <x v="0"/>
    <s v="Full Depth replacement HMA (11&quot;)"/>
    <n v="1"/>
  </r>
  <r>
    <x v="11"/>
    <n v="320"/>
    <x v="7"/>
    <x v="2"/>
    <x v="125"/>
    <x v="6"/>
    <x v="117"/>
    <x v="5"/>
    <n v="1760000"/>
    <x v="1"/>
    <m/>
    <m/>
    <m/>
    <s v="2028/29"/>
    <s v="2028/29"/>
    <m/>
    <m/>
    <s v="2029/30"/>
    <m/>
    <m/>
    <m/>
    <m/>
    <m/>
    <m/>
    <m/>
    <m/>
    <m/>
    <m/>
    <m/>
    <m/>
    <m/>
    <n v="0"/>
    <n v="0"/>
    <n v="1760000"/>
    <m/>
    <m/>
    <x v="2"/>
    <m/>
    <m/>
  </r>
  <r>
    <x v="11"/>
    <n v="60"/>
    <x v="8"/>
    <x v="2"/>
    <x v="91"/>
    <x v="20"/>
    <x v="80"/>
    <x v="5"/>
    <n v="125000"/>
    <x v="1"/>
    <s v="Dean"/>
    <n v="0"/>
    <m/>
    <s v="2028/29"/>
    <s v="2028/29"/>
    <m/>
    <m/>
    <s v="2029/30"/>
    <m/>
    <m/>
    <m/>
    <m/>
    <m/>
    <m/>
    <m/>
    <m/>
    <m/>
    <m/>
    <m/>
    <m/>
    <m/>
    <n v="0"/>
    <n v="0"/>
    <n v="125000"/>
    <m/>
    <m/>
    <x v="2"/>
    <m/>
    <n v="0"/>
  </r>
  <r>
    <x v="11"/>
    <n v="510"/>
    <x v="5"/>
    <x v="3"/>
    <x v="110"/>
    <x v="20"/>
    <x v="80"/>
    <x v="5"/>
    <n v="75000"/>
    <x v="1"/>
    <s v="Dean"/>
    <n v="0"/>
    <m/>
    <s v="2028/29"/>
    <s v="2028/29"/>
    <m/>
    <m/>
    <s v="2029/30"/>
    <m/>
    <m/>
    <m/>
    <m/>
    <m/>
    <m/>
    <m/>
    <m/>
    <m/>
    <m/>
    <m/>
    <m/>
    <m/>
    <n v="0"/>
    <n v="0"/>
    <n v="75000"/>
    <m/>
    <m/>
    <x v="2"/>
    <m/>
    <n v="0"/>
  </r>
  <r>
    <x v="11"/>
    <n v="560"/>
    <x v="1"/>
    <x v="1"/>
    <x v="127"/>
    <x v="1"/>
    <x v="118"/>
    <x v="5"/>
    <n v="1400000"/>
    <x v="1"/>
    <m/>
    <m/>
    <m/>
    <s v="2028/29"/>
    <s v="2028/29"/>
    <m/>
    <m/>
    <s v="2029/30"/>
    <m/>
    <m/>
    <m/>
    <m/>
    <m/>
    <s v="No"/>
    <m/>
    <m/>
    <m/>
    <m/>
    <m/>
    <m/>
    <m/>
    <n v="0"/>
    <n v="0"/>
    <n v="1400000"/>
    <m/>
    <m/>
    <x v="0"/>
    <m/>
    <n v="1"/>
  </r>
  <r>
    <x v="12"/>
    <n v="388"/>
    <x v="18"/>
    <x v="2"/>
    <x v="133"/>
    <x v="6"/>
    <x v="119"/>
    <x v="5"/>
    <n v="2400000"/>
    <x v="1"/>
    <m/>
    <m/>
    <m/>
    <s v="2029/30"/>
    <s v="2029/30"/>
    <m/>
    <m/>
    <s v="2030/31"/>
    <m/>
    <m/>
    <m/>
    <m/>
    <s v="Yes"/>
    <s v="Yes"/>
    <m/>
    <m/>
    <m/>
    <m/>
    <m/>
    <m/>
    <m/>
    <n v="0"/>
    <n v="0"/>
    <n v="2400000"/>
    <m/>
    <m/>
    <x v="1"/>
    <s v="MPO/STP Funds and G.O. Bonds"/>
    <n v="1"/>
  </r>
  <r>
    <x v="12"/>
    <n v="320"/>
    <x v="7"/>
    <x v="2"/>
    <x v="125"/>
    <x v="6"/>
    <x v="120"/>
    <x v="5"/>
    <n v="1835000"/>
    <x v="1"/>
    <m/>
    <m/>
    <m/>
    <s v="2029/30"/>
    <s v="2029/30"/>
    <m/>
    <m/>
    <s v="2030/31"/>
    <m/>
    <m/>
    <m/>
    <m/>
    <m/>
    <m/>
    <m/>
    <m/>
    <m/>
    <m/>
    <m/>
    <m/>
    <m/>
    <n v="0"/>
    <n v="0"/>
    <n v="1835000"/>
    <m/>
    <m/>
    <x v="2"/>
    <m/>
    <n v="1"/>
  </r>
  <r>
    <x v="12"/>
    <n v="560"/>
    <x v="1"/>
    <x v="1"/>
    <x v="107"/>
    <x v="20"/>
    <x v="80"/>
    <x v="5"/>
    <n v="50000"/>
    <x v="1"/>
    <s v="Dean"/>
    <n v="0"/>
    <m/>
    <s v="2029/30"/>
    <s v="2029/30"/>
    <m/>
    <m/>
    <s v="2030/31"/>
    <m/>
    <m/>
    <m/>
    <m/>
    <m/>
    <m/>
    <m/>
    <m/>
    <m/>
    <m/>
    <m/>
    <m/>
    <m/>
    <n v="0"/>
    <n v="0"/>
    <n v="50000"/>
    <m/>
    <m/>
    <x v="2"/>
    <m/>
    <n v="0"/>
  </r>
  <r>
    <x v="12"/>
    <n v="520"/>
    <x v="0"/>
    <x v="0"/>
    <x v="108"/>
    <x v="20"/>
    <x v="80"/>
    <x v="5"/>
    <n v="75000"/>
    <x v="1"/>
    <s v="Dean"/>
    <n v="0"/>
    <m/>
    <s v="2029/30"/>
    <s v="2029/30"/>
    <m/>
    <m/>
    <s v="2030/31"/>
    <m/>
    <m/>
    <m/>
    <m/>
    <m/>
    <m/>
    <m/>
    <m/>
    <m/>
    <m/>
    <m/>
    <m/>
    <m/>
    <n v="0"/>
    <n v="0"/>
    <n v="75000"/>
    <m/>
    <m/>
    <x v="2"/>
    <m/>
    <n v="0"/>
  </r>
  <r>
    <x v="12"/>
    <m/>
    <x v="19"/>
    <x v="11"/>
    <x v="127"/>
    <x v="35"/>
    <x v="113"/>
    <x v="5"/>
    <m/>
    <x v="1"/>
    <m/>
    <m/>
    <m/>
    <s v="2029/30"/>
    <s v="2029/30"/>
    <m/>
    <m/>
    <s v="2030/31"/>
    <m/>
    <m/>
    <m/>
    <m/>
    <m/>
    <s v="No"/>
    <m/>
    <m/>
    <m/>
    <m/>
    <m/>
    <m/>
    <m/>
    <n v="0"/>
    <n v="0"/>
    <n v="0"/>
    <m/>
    <m/>
    <x v="0"/>
    <m/>
    <n v="0"/>
  </r>
  <r>
    <x v="12"/>
    <n v="390"/>
    <x v="21"/>
    <x v="2"/>
    <x v="135"/>
    <x v="14"/>
    <x v="121"/>
    <x v="5"/>
    <n v="3700000"/>
    <x v="1"/>
    <m/>
    <m/>
    <m/>
    <s v="2029/30"/>
    <s v="2029/30"/>
    <m/>
    <m/>
    <s v="2030/31"/>
    <m/>
    <m/>
    <m/>
    <m/>
    <m/>
    <s v="No"/>
    <m/>
    <m/>
    <m/>
    <m/>
    <m/>
    <m/>
    <m/>
    <n v="0"/>
    <n v="0"/>
    <n v="3700000"/>
    <m/>
    <m/>
    <x v="0"/>
    <m/>
    <n v="1"/>
  </r>
  <r>
    <x v="12"/>
    <n v="389"/>
    <x v="20"/>
    <x v="2"/>
    <x v="127"/>
    <x v="21"/>
    <x v="122"/>
    <x v="5"/>
    <m/>
    <x v="1"/>
    <m/>
    <m/>
    <m/>
    <s v="2029/30"/>
    <s v="2029/30"/>
    <m/>
    <m/>
    <s v="2030/31"/>
    <m/>
    <m/>
    <m/>
    <m/>
    <m/>
    <s v="No"/>
    <m/>
    <m/>
    <m/>
    <m/>
    <m/>
    <m/>
    <m/>
    <n v="0"/>
    <n v="0"/>
    <n v="0"/>
    <m/>
    <m/>
    <x v="0"/>
    <m/>
    <n v="1"/>
  </r>
  <r>
    <x v="12"/>
    <n v="390"/>
    <x v="21"/>
    <x v="2"/>
    <x v="127"/>
    <x v="30"/>
    <x v="123"/>
    <x v="5"/>
    <n v="400000"/>
    <x v="1"/>
    <m/>
    <m/>
    <m/>
    <s v="2029/30"/>
    <s v="2029/30"/>
    <m/>
    <m/>
    <s v="2030/31"/>
    <m/>
    <m/>
    <m/>
    <m/>
    <m/>
    <s v="No"/>
    <m/>
    <m/>
    <m/>
    <m/>
    <m/>
    <m/>
    <m/>
    <n v="0"/>
    <n v="0"/>
    <n v="400000"/>
    <m/>
    <m/>
    <x v="0"/>
    <m/>
    <n v="1"/>
  </r>
  <r>
    <x v="12"/>
    <n v="390"/>
    <x v="21"/>
    <x v="2"/>
    <x v="127"/>
    <x v="3"/>
    <x v="124"/>
    <x v="5"/>
    <n v="900000"/>
    <x v="1"/>
    <m/>
    <m/>
    <m/>
    <s v="2029/30"/>
    <s v="2029/30"/>
    <m/>
    <m/>
    <s v="2030/31"/>
    <m/>
    <m/>
    <m/>
    <m/>
    <m/>
    <s v="No"/>
    <m/>
    <m/>
    <m/>
    <m/>
    <m/>
    <m/>
    <m/>
    <n v="0"/>
    <n v="0"/>
    <n v="900000"/>
    <m/>
    <m/>
    <x v="0"/>
    <m/>
    <n v="1"/>
  </r>
  <r>
    <x v="12"/>
    <n v="60"/>
    <x v="8"/>
    <x v="10"/>
    <x v="44"/>
    <x v="19"/>
    <x v="125"/>
    <x v="5"/>
    <n v="150000"/>
    <x v="1"/>
    <m/>
    <m/>
    <m/>
    <s v="2029/30"/>
    <s v="2029/30"/>
    <m/>
    <m/>
    <s v="2030/31"/>
    <m/>
    <m/>
    <m/>
    <m/>
    <m/>
    <s v="No"/>
    <m/>
    <m/>
    <m/>
    <m/>
    <m/>
    <m/>
    <m/>
    <n v="0"/>
    <n v="0"/>
    <n v="150000"/>
    <m/>
    <m/>
    <x v="0"/>
    <m/>
    <n v="0"/>
  </r>
  <r>
    <x v="12"/>
    <n v="390"/>
    <x v="21"/>
    <x v="2"/>
    <x v="127"/>
    <x v="12"/>
    <x v="125"/>
    <x v="5"/>
    <n v="1000000"/>
    <x v="1"/>
    <m/>
    <m/>
    <m/>
    <s v="2029/30"/>
    <s v="2029/30"/>
    <m/>
    <m/>
    <s v="2030/31"/>
    <m/>
    <m/>
    <m/>
    <m/>
    <m/>
    <s v="No"/>
    <m/>
    <m/>
    <m/>
    <m/>
    <m/>
    <m/>
    <m/>
    <n v="0"/>
    <n v="0"/>
    <n v="1000000"/>
    <m/>
    <m/>
    <x v="0"/>
    <m/>
    <n v="1"/>
  </r>
  <r>
    <x v="12"/>
    <n v="390"/>
    <x v="21"/>
    <x v="2"/>
    <x v="135"/>
    <x v="6"/>
    <x v="126"/>
    <x v="5"/>
    <n v="486000"/>
    <x v="1"/>
    <m/>
    <m/>
    <m/>
    <s v="2029/30"/>
    <s v="2029/30"/>
    <m/>
    <m/>
    <s v="2030/31"/>
    <m/>
    <m/>
    <m/>
    <m/>
    <m/>
    <s v="No"/>
    <m/>
    <m/>
    <m/>
    <m/>
    <m/>
    <m/>
    <m/>
    <n v="0"/>
    <n v="0"/>
    <n v="486000"/>
    <m/>
    <m/>
    <x v="0"/>
    <m/>
    <n v="1"/>
  </r>
  <r>
    <x v="12"/>
    <n v="320"/>
    <x v="7"/>
    <x v="2"/>
    <x v="125"/>
    <x v="6"/>
    <x v="126"/>
    <x v="5"/>
    <n v="864000"/>
    <x v="1"/>
    <m/>
    <m/>
    <m/>
    <s v="2029/30"/>
    <s v="2029/30"/>
    <m/>
    <m/>
    <s v="2030/31"/>
    <m/>
    <m/>
    <m/>
    <m/>
    <s v="Yes"/>
    <s v="Yes"/>
    <m/>
    <m/>
    <m/>
    <m/>
    <m/>
    <m/>
    <m/>
    <n v="0"/>
    <n v="0"/>
    <n v="864000"/>
    <m/>
    <m/>
    <x v="2"/>
    <m/>
    <n v="0"/>
  </r>
  <r>
    <x v="12"/>
    <n v="60"/>
    <x v="8"/>
    <x v="2"/>
    <x v="91"/>
    <x v="20"/>
    <x v="80"/>
    <x v="5"/>
    <n v="125000"/>
    <x v="1"/>
    <s v="Dean"/>
    <n v="0"/>
    <m/>
    <s v="2029/30"/>
    <s v="2029/30"/>
    <m/>
    <m/>
    <s v="2030/31"/>
    <m/>
    <m/>
    <m/>
    <m/>
    <m/>
    <m/>
    <m/>
    <m/>
    <m/>
    <m/>
    <m/>
    <m/>
    <m/>
    <n v="0"/>
    <n v="0"/>
    <n v="125000"/>
    <m/>
    <m/>
    <x v="2"/>
    <m/>
    <n v="0"/>
  </r>
  <r>
    <x v="12"/>
    <n v="510"/>
    <x v="5"/>
    <x v="3"/>
    <x v="110"/>
    <x v="20"/>
    <x v="80"/>
    <x v="5"/>
    <n v="75000"/>
    <x v="1"/>
    <s v="Dean"/>
    <n v="0"/>
    <m/>
    <s v="2029/30"/>
    <s v="2029/30"/>
    <m/>
    <m/>
    <s v="2030/31"/>
    <m/>
    <m/>
    <m/>
    <m/>
    <m/>
    <m/>
    <m/>
    <m/>
    <m/>
    <m/>
    <m/>
    <m/>
    <m/>
    <n v="0"/>
    <n v="0"/>
    <n v="75000"/>
    <m/>
    <m/>
    <x v="2"/>
    <m/>
    <n v="0"/>
  </r>
  <r>
    <x v="12"/>
    <n v="560"/>
    <x v="1"/>
    <x v="1"/>
    <x v="127"/>
    <x v="1"/>
    <x v="127"/>
    <x v="5"/>
    <m/>
    <x v="1"/>
    <m/>
    <m/>
    <m/>
    <s v="2029/30"/>
    <s v="2029/30"/>
    <m/>
    <m/>
    <s v="2030/31"/>
    <m/>
    <m/>
    <m/>
    <m/>
    <m/>
    <s v="No"/>
    <m/>
    <m/>
    <m/>
    <m/>
    <m/>
    <m/>
    <m/>
    <n v="0"/>
    <n v="0"/>
    <n v="0"/>
    <m/>
    <m/>
    <x v="0"/>
    <s v="Verify this is the correct location"/>
    <n v="1"/>
  </r>
  <r>
    <x v="13"/>
    <n v="387"/>
    <x v="17"/>
    <x v="2"/>
    <x v="127"/>
    <x v="26"/>
    <x v="128"/>
    <x v="5"/>
    <n v="1400000"/>
    <x v="1"/>
    <m/>
    <m/>
    <m/>
    <s v="2030/31"/>
    <s v="2030/31"/>
    <m/>
    <m/>
    <s v="2031/32"/>
    <m/>
    <m/>
    <m/>
    <m/>
    <m/>
    <s v="No"/>
    <m/>
    <m/>
    <m/>
    <m/>
    <m/>
    <m/>
    <m/>
    <n v="0"/>
    <n v="0"/>
    <n v="1400000"/>
    <m/>
    <m/>
    <x v="0"/>
    <s v="Questionable ROW.  3 blocks of full reconstruction.  Fill in with concrete from back of curb to exisitng sidwalk at 2519 Chamberlain (this may be an existing condition if the owner completed this in 2025 or 2026)."/>
    <n v="1"/>
  </r>
  <r>
    <x v="13"/>
    <n v="560"/>
    <x v="1"/>
    <x v="1"/>
    <x v="107"/>
    <x v="2"/>
    <x v="129"/>
    <x v="5"/>
    <m/>
    <x v="1"/>
    <m/>
    <m/>
    <m/>
    <s v="2030/31"/>
    <s v="2030/31"/>
    <m/>
    <s v="2031/32"/>
    <m/>
    <m/>
    <m/>
    <m/>
    <m/>
    <m/>
    <m/>
    <m/>
    <m/>
    <m/>
    <m/>
    <m/>
    <m/>
    <m/>
    <n v="0"/>
    <n v="0"/>
    <n v="0"/>
    <m/>
    <m/>
    <x v="2"/>
    <m/>
    <n v="1"/>
  </r>
  <r>
    <x v="13"/>
    <n v="560"/>
    <x v="1"/>
    <x v="1"/>
    <x v="107"/>
    <x v="2"/>
    <x v="130"/>
    <x v="5"/>
    <m/>
    <x v="1"/>
    <m/>
    <m/>
    <m/>
    <s v="2030/31"/>
    <s v="2030/31"/>
    <m/>
    <s v="2031/32"/>
    <m/>
    <m/>
    <m/>
    <m/>
    <m/>
    <m/>
    <m/>
    <m/>
    <m/>
    <m/>
    <m/>
    <m/>
    <m/>
    <m/>
    <n v="0"/>
    <n v="0"/>
    <n v="0"/>
    <m/>
    <m/>
    <x v="2"/>
    <m/>
    <n v="1"/>
  </r>
  <r>
    <x v="13"/>
    <n v="560"/>
    <x v="1"/>
    <x v="1"/>
    <x v="107"/>
    <x v="20"/>
    <x v="80"/>
    <x v="5"/>
    <n v="50000"/>
    <x v="1"/>
    <s v="Dean"/>
    <n v="0"/>
    <m/>
    <s v="2030/31"/>
    <s v="2030/31"/>
    <m/>
    <s v="2031/32"/>
    <m/>
    <m/>
    <m/>
    <m/>
    <m/>
    <m/>
    <m/>
    <m/>
    <m/>
    <m/>
    <m/>
    <m/>
    <m/>
    <m/>
    <n v="0"/>
    <n v="0"/>
    <n v="50000"/>
    <m/>
    <m/>
    <x v="2"/>
    <m/>
    <n v="0"/>
  </r>
  <r>
    <x v="13"/>
    <n v="520"/>
    <x v="0"/>
    <x v="0"/>
    <x v="108"/>
    <x v="20"/>
    <x v="80"/>
    <x v="5"/>
    <n v="75000"/>
    <x v="1"/>
    <s v="Dean"/>
    <n v="0"/>
    <m/>
    <s v="2030/31"/>
    <s v="2030/31"/>
    <m/>
    <s v="2031/32"/>
    <m/>
    <m/>
    <m/>
    <m/>
    <m/>
    <m/>
    <m/>
    <m/>
    <m/>
    <m/>
    <m/>
    <m/>
    <m/>
    <m/>
    <n v="0"/>
    <n v="0"/>
    <n v="75000"/>
    <m/>
    <m/>
    <x v="2"/>
    <m/>
    <n v="0"/>
  </r>
  <r>
    <x v="13"/>
    <n v="391"/>
    <x v="22"/>
    <x v="2"/>
    <x v="136"/>
    <x v="3"/>
    <x v="131"/>
    <x v="5"/>
    <n v="1200000"/>
    <x v="1"/>
    <m/>
    <m/>
    <m/>
    <s v="2030/31"/>
    <s v="2030/31"/>
    <m/>
    <s v="2031/32"/>
    <m/>
    <m/>
    <m/>
    <m/>
    <m/>
    <m/>
    <m/>
    <m/>
    <m/>
    <m/>
    <m/>
    <m/>
    <n v="600000"/>
    <m/>
    <n v="600000"/>
    <n v="600000"/>
    <n v="600000"/>
    <m/>
    <m/>
    <x v="2"/>
    <s v="No Sanitary, No Storm, No Water"/>
    <n v="1"/>
  </r>
  <r>
    <x v="13"/>
    <n v="391"/>
    <x v="22"/>
    <x v="2"/>
    <x v="136"/>
    <x v="21"/>
    <x v="132"/>
    <x v="5"/>
    <n v="1700000"/>
    <x v="1"/>
    <m/>
    <m/>
    <m/>
    <s v="2030/31"/>
    <s v="2030/31"/>
    <m/>
    <s v="2031/32"/>
    <m/>
    <m/>
    <m/>
    <m/>
    <m/>
    <m/>
    <m/>
    <m/>
    <m/>
    <m/>
    <m/>
    <m/>
    <n v="340000"/>
    <m/>
    <m/>
    <m/>
    <m/>
    <m/>
    <m/>
    <x v="2"/>
    <m/>
    <m/>
  </r>
  <r>
    <x v="13"/>
    <n v="391"/>
    <x v="22"/>
    <x v="2"/>
    <x v="136"/>
    <x v="6"/>
    <x v="133"/>
    <x v="5"/>
    <n v="460000"/>
    <x v="1"/>
    <m/>
    <m/>
    <m/>
    <s v="2030/31"/>
    <s v="2030/31"/>
    <m/>
    <s v="2031/32"/>
    <m/>
    <m/>
    <m/>
    <m/>
    <m/>
    <m/>
    <m/>
    <m/>
    <m/>
    <m/>
    <m/>
    <m/>
    <n v="380000"/>
    <m/>
    <n v="380000"/>
    <n v="380000"/>
    <n v="80000"/>
    <m/>
    <m/>
    <x v="2"/>
    <m/>
    <n v="1"/>
  </r>
  <r>
    <x v="13"/>
    <n v="320"/>
    <x v="7"/>
    <x v="2"/>
    <x v="125"/>
    <x v="6"/>
    <x v="133"/>
    <x v="5"/>
    <n v="2160000"/>
    <x v="1"/>
    <m/>
    <m/>
    <m/>
    <s v="2030/31"/>
    <s v="2030/31"/>
    <m/>
    <s v="2031/32"/>
    <m/>
    <m/>
    <m/>
    <m/>
    <m/>
    <m/>
    <m/>
    <m/>
    <m/>
    <m/>
    <m/>
    <m/>
    <m/>
    <m/>
    <n v="0"/>
    <n v="0"/>
    <n v="2160000"/>
    <m/>
    <m/>
    <x v="2"/>
    <m/>
    <n v="0"/>
  </r>
  <r>
    <x v="13"/>
    <n v="391"/>
    <x v="22"/>
    <x v="2"/>
    <x v="136"/>
    <x v="30"/>
    <x v="134"/>
    <x v="5"/>
    <n v="400000"/>
    <x v="1"/>
    <m/>
    <m/>
    <m/>
    <s v="2030/31"/>
    <s v="2030/31"/>
    <m/>
    <s v="2031/32"/>
    <m/>
    <m/>
    <m/>
    <m/>
    <m/>
    <m/>
    <m/>
    <m/>
    <m/>
    <m/>
    <m/>
    <m/>
    <m/>
    <m/>
    <n v="0"/>
    <n v="0"/>
    <n v="400000"/>
    <m/>
    <m/>
    <x v="2"/>
    <m/>
    <n v="1"/>
  </r>
  <r>
    <x v="13"/>
    <n v="30"/>
    <x v="11"/>
    <x v="5"/>
    <x v="137"/>
    <x v="36"/>
    <x v="133"/>
    <x v="5"/>
    <n v="80000"/>
    <x v="1"/>
    <m/>
    <m/>
    <m/>
    <s v="2030/31"/>
    <s v="2030/31"/>
    <m/>
    <s v="2031/32"/>
    <m/>
    <m/>
    <m/>
    <m/>
    <m/>
    <m/>
    <m/>
    <m/>
    <m/>
    <m/>
    <m/>
    <m/>
    <m/>
    <m/>
    <n v="0"/>
    <n v="0"/>
    <n v="80000"/>
    <m/>
    <m/>
    <x v="2"/>
    <m/>
    <n v="0"/>
  </r>
  <r>
    <x v="13"/>
    <n v="391"/>
    <x v="22"/>
    <x v="2"/>
    <x v="136"/>
    <x v="14"/>
    <x v="135"/>
    <x v="5"/>
    <m/>
    <x v="1"/>
    <m/>
    <m/>
    <m/>
    <s v="2030/31"/>
    <s v="2030/31"/>
    <m/>
    <s v="2031/32"/>
    <m/>
    <m/>
    <m/>
    <m/>
    <m/>
    <m/>
    <m/>
    <m/>
    <m/>
    <m/>
    <m/>
    <m/>
    <m/>
    <m/>
    <n v="0"/>
    <n v="0"/>
    <n v="0"/>
    <m/>
    <m/>
    <x v="2"/>
    <m/>
    <n v="1"/>
  </r>
  <r>
    <x v="13"/>
    <n v="60"/>
    <x v="8"/>
    <x v="2"/>
    <x v="91"/>
    <x v="20"/>
    <x v="80"/>
    <x v="5"/>
    <n v="125000"/>
    <x v="1"/>
    <s v="Dean"/>
    <n v="0"/>
    <m/>
    <s v="2030/31"/>
    <s v="2030/31"/>
    <m/>
    <s v="2031/32"/>
    <m/>
    <m/>
    <m/>
    <m/>
    <m/>
    <m/>
    <m/>
    <m/>
    <m/>
    <m/>
    <m/>
    <m/>
    <m/>
    <m/>
    <n v="0"/>
    <n v="0"/>
    <n v="125000"/>
    <m/>
    <m/>
    <x v="2"/>
    <m/>
    <n v="0"/>
  </r>
  <r>
    <x v="13"/>
    <n v="510"/>
    <x v="5"/>
    <x v="3"/>
    <x v="110"/>
    <x v="20"/>
    <x v="80"/>
    <x v="5"/>
    <n v="75000"/>
    <x v="1"/>
    <s v="Dean"/>
    <n v="0"/>
    <m/>
    <s v="2030/31"/>
    <s v="2030/31"/>
    <m/>
    <s v="2031/32"/>
    <m/>
    <m/>
    <m/>
    <m/>
    <m/>
    <m/>
    <m/>
    <m/>
    <m/>
    <m/>
    <m/>
    <m/>
    <m/>
    <m/>
    <n v="0"/>
    <n v="0"/>
    <n v="75000"/>
    <m/>
    <m/>
    <x v="2"/>
    <m/>
    <n v="0"/>
  </r>
  <r>
    <x v="13"/>
    <n v="391"/>
    <x v="22"/>
    <x v="2"/>
    <x v="136"/>
    <x v="12"/>
    <x v="136"/>
    <x v="5"/>
    <m/>
    <x v="1"/>
    <m/>
    <m/>
    <m/>
    <s v="2030/31"/>
    <s v="2030/31"/>
    <m/>
    <s v="2031/32"/>
    <m/>
    <m/>
    <m/>
    <m/>
    <m/>
    <m/>
    <m/>
    <m/>
    <m/>
    <m/>
    <m/>
    <m/>
    <m/>
    <m/>
    <n v="0"/>
    <n v="0"/>
    <n v="0"/>
    <m/>
    <m/>
    <x v="2"/>
    <m/>
    <n v="1"/>
  </r>
  <r>
    <x v="14"/>
    <n v="520"/>
    <x v="0"/>
    <x v="0"/>
    <x v="108"/>
    <x v="0"/>
    <x v="137"/>
    <x v="5"/>
    <n v="200000"/>
    <x v="1"/>
    <m/>
    <m/>
    <m/>
    <s v="2031/32"/>
    <s v="2031/32"/>
    <m/>
    <s v="2032/33"/>
    <m/>
    <m/>
    <m/>
    <m/>
    <m/>
    <m/>
    <m/>
    <m/>
    <m/>
    <m/>
    <m/>
    <m/>
    <m/>
    <m/>
    <n v="0"/>
    <n v="0"/>
    <n v="200000"/>
    <m/>
    <m/>
    <x v="2"/>
    <s v="7th St and Hodge Ave"/>
    <m/>
  </r>
  <r>
    <x v="14"/>
    <n v="392"/>
    <x v="23"/>
    <x v="2"/>
    <x v="138"/>
    <x v="30"/>
    <x v="138"/>
    <x v="5"/>
    <n v="400000"/>
    <x v="1"/>
    <m/>
    <m/>
    <m/>
    <s v="2031/32"/>
    <s v="2031/32"/>
    <m/>
    <s v="2032/33"/>
    <m/>
    <m/>
    <m/>
    <m/>
    <m/>
    <m/>
    <m/>
    <m/>
    <m/>
    <m/>
    <m/>
    <m/>
    <m/>
    <m/>
    <n v="0"/>
    <n v="0"/>
    <n v="400000"/>
    <m/>
    <m/>
    <x v="2"/>
    <m/>
    <n v="1"/>
  </r>
  <r>
    <x v="14"/>
    <n v="392"/>
    <x v="23"/>
    <x v="2"/>
    <x v="138"/>
    <x v="6"/>
    <x v="139"/>
    <x v="5"/>
    <n v="520000"/>
    <x v="1"/>
    <m/>
    <m/>
    <m/>
    <s v="2031/32"/>
    <s v="2031/32"/>
    <m/>
    <s v="2032/33"/>
    <m/>
    <m/>
    <m/>
    <m/>
    <m/>
    <m/>
    <m/>
    <m/>
    <m/>
    <m/>
    <m/>
    <m/>
    <m/>
    <m/>
    <n v="0"/>
    <n v="0"/>
    <n v="520000"/>
    <m/>
    <m/>
    <x v="2"/>
    <m/>
    <n v="1"/>
  </r>
  <r>
    <x v="14"/>
    <n v="320"/>
    <x v="7"/>
    <x v="2"/>
    <x v="125"/>
    <x v="6"/>
    <x v="139"/>
    <x v="5"/>
    <n v="2080000"/>
    <x v="1"/>
    <m/>
    <m/>
    <m/>
    <s v="2031/32"/>
    <s v="2031/32"/>
    <m/>
    <s v="2032/33"/>
    <m/>
    <m/>
    <m/>
    <m/>
    <m/>
    <m/>
    <m/>
    <m/>
    <m/>
    <m/>
    <m/>
    <m/>
    <m/>
    <m/>
    <n v="0"/>
    <n v="0"/>
    <n v="2080000"/>
    <m/>
    <m/>
    <x v="2"/>
    <m/>
    <n v="1"/>
  </r>
  <r>
    <x v="14"/>
    <n v="392"/>
    <x v="23"/>
    <x v="2"/>
    <x v="138"/>
    <x v="3"/>
    <x v="137"/>
    <x v="5"/>
    <n v="3400000"/>
    <x v="1"/>
    <m/>
    <m/>
    <m/>
    <s v="2031/32"/>
    <s v="2031/32"/>
    <m/>
    <s v="2032/33"/>
    <m/>
    <m/>
    <m/>
    <m/>
    <m/>
    <m/>
    <m/>
    <m/>
    <m/>
    <m/>
    <m/>
    <m/>
    <m/>
    <m/>
    <n v="0"/>
    <n v="0"/>
    <n v="3400000"/>
    <m/>
    <m/>
    <x v="2"/>
    <m/>
    <n v="1"/>
  </r>
  <r>
    <x v="14"/>
    <n v="510"/>
    <x v="5"/>
    <x v="3"/>
    <x v="110"/>
    <x v="5"/>
    <x v="137"/>
    <x v="5"/>
    <n v="200000"/>
    <x v="1"/>
    <m/>
    <m/>
    <m/>
    <s v="2031/32"/>
    <s v="2031/32"/>
    <m/>
    <s v="2032/33"/>
    <m/>
    <m/>
    <m/>
    <m/>
    <m/>
    <m/>
    <m/>
    <m/>
    <m/>
    <m/>
    <m/>
    <m/>
    <m/>
    <m/>
    <n v="0"/>
    <n v="0"/>
    <n v="200000"/>
    <m/>
    <m/>
    <x v="2"/>
    <s v="Hodge Ave"/>
    <m/>
  </r>
  <r>
    <x v="15"/>
    <n v="393"/>
    <x v="24"/>
    <x v="2"/>
    <x v="127"/>
    <x v="30"/>
    <x v="140"/>
    <x v="5"/>
    <n v="400000"/>
    <x v="1"/>
    <m/>
    <m/>
    <m/>
    <s v="2032/33"/>
    <s v="2032/33"/>
    <m/>
    <s v="2033/37"/>
    <m/>
    <m/>
    <m/>
    <m/>
    <m/>
    <m/>
    <m/>
    <m/>
    <m/>
    <m/>
    <m/>
    <m/>
    <m/>
    <m/>
    <n v="0"/>
    <n v="0"/>
    <n v="400000"/>
    <m/>
    <m/>
    <x v="2"/>
    <m/>
    <n v="1"/>
  </r>
  <r>
    <x v="8"/>
    <n v="386"/>
    <x v="16"/>
    <x v="2"/>
    <x v="139"/>
    <x v="3"/>
    <x v="79"/>
    <x v="1"/>
    <n v="1250000"/>
    <x v="1"/>
    <s v="WHKS"/>
    <n v="0"/>
    <n v="0"/>
    <s v="2025/26"/>
    <s v="2025/26"/>
    <m/>
    <m/>
    <s v="2026/27"/>
    <d v="2027-06-30T00:00:00"/>
    <m/>
    <s v="Dean"/>
    <m/>
    <s v="No"/>
    <s v="No"/>
    <n v="1085116.6000000001"/>
    <m/>
    <m/>
    <m/>
    <m/>
    <n v="150000"/>
    <m/>
    <n v="1235116.6000000001"/>
    <n v="150000"/>
    <n v="14883.399999999907"/>
    <m/>
    <m/>
    <x v="2"/>
    <m/>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CBF1AC4-E088-477F-B850-DD8B052AC199}" name="PivotTable2" cacheId="22" applyNumberFormats="0" applyBorderFormats="0" applyFontFormats="0" applyPatternFormats="0" applyAlignmentFormats="0" applyWidthHeightFormats="1" dataCaption="Values" updatedVersion="8" minRefreshableVersion="3" itemPrintTitles="1" createdVersion="8" indent="0" outline="1" outlineData="1" multipleFieldFilters="0" rowHeaderCaption="2025/26 CIP Projects">
  <location ref="A26:G105" firstHeaderRow="0" firstDataRow="1" firstDataCol="1" rowPageCount="1" colPageCount="1"/>
  <pivotFields count="42">
    <pivotField axis="axisPage" multipleItemSelectionAllowed="1" showAll="0">
      <items count="19">
        <item h="1" x="0"/>
        <item h="1" x="1"/>
        <item h="1" x="2"/>
        <item h="1" x="3"/>
        <item h="1" x="4"/>
        <item h="1" x="5"/>
        <item h="1" x="6"/>
        <item h="1" x="7"/>
        <item h="1" m="1" x="16"/>
        <item x="8"/>
        <item h="1" x="9"/>
        <item h="1" x="10"/>
        <item h="1" x="11"/>
        <item h="1" x="12"/>
        <item h="1" x="13"/>
        <item h="1" x="14"/>
        <item h="1" x="15"/>
        <item h="1" m="1" x="17"/>
        <item t="default"/>
      </items>
    </pivotField>
    <pivotField showAll="0"/>
    <pivotField showAll="0"/>
    <pivotField showAll="0"/>
    <pivotField axis="axisRow" showAll="0">
      <items count="142">
        <item x="86"/>
        <item x="137"/>
        <item x="31"/>
        <item x="42"/>
        <item x="54"/>
        <item x="19"/>
        <item x="22"/>
        <item x="101"/>
        <item x="91"/>
        <item x="44"/>
        <item x="12"/>
        <item x="70"/>
        <item x="13"/>
        <item x="43"/>
        <item x="95"/>
        <item x="14"/>
        <item x="6"/>
        <item x="7"/>
        <item x="39"/>
        <item x="79"/>
        <item x="64"/>
        <item x="125"/>
        <item x="47"/>
        <item x="102"/>
        <item x="10"/>
        <item x="26"/>
        <item x="21"/>
        <item x="23"/>
        <item x="92"/>
        <item x="85"/>
        <item x="67"/>
        <item x="3"/>
        <item x="20"/>
        <item x="83"/>
        <item x="52"/>
        <item x="88"/>
        <item x="9"/>
        <item x="11"/>
        <item x="84"/>
        <item x="24"/>
        <item x="25"/>
        <item x="89"/>
        <item x="27"/>
        <item x="28"/>
        <item x="30"/>
        <item x="18"/>
        <item x="49"/>
        <item x="50"/>
        <item x="48"/>
        <item x="128"/>
        <item x="56"/>
        <item x="90"/>
        <item x="111"/>
        <item x="51"/>
        <item x="40"/>
        <item x="41"/>
        <item x="93"/>
        <item x="72"/>
        <item x="71"/>
        <item x="69"/>
        <item x="73"/>
        <item x="74"/>
        <item x="45"/>
        <item x="94"/>
        <item x="76"/>
        <item x="112"/>
        <item x="118"/>
        <item x="100"/>
        <item x="104"/>
        <item x="122"/>
        <item x="126"/>
        <item x="131"/>
        <item x="133"/>
        <item x="132"/>
        <item x="134"/>
        <item x="135"/>
        <item x="136"/>
        <item x="138"/>
        <item x="110"/>
        <item x="114"/>
        <item x="119"/>
        <item x="68"/>
        <item x="46"/>
        <item x="75"/>
        <item x="15"/>
        <item x="29"/>
        <item x="8"/>
        <item x="82"/>
        <item x="108"/>
        <item x="113"/>
        <item x="117"/>
        <item x="65"/>
        <item x="103"/>
        <item x="53"/>
        <item x="66"/>
        <item x="16"/>
        <item x="115"/>
        <item x="0"/>
        <item x="57"/>
        <item x="36"/>
        <item x="59"/>
        <item x="37"/>
        <item x="38"/>
        <item x="60"/>
        <item x="62"/>
        <item x="63"/>
        <item x="78"/>
        <item x="55"/>
        <item x="107"/>
        <item x="80"/>
        <item x="81"/>
        <item x="32"/>
        <item x="129"/>
        <item x="87"/>
        <item x="33"/>
        <item x="34"/>
        <item x="124"/>
        <item x="1"/>
        <item x="4"/>
        <item x="35"/>
        <item x="58"/>
        <item x="77"/>
        <item x="97"/>
        <item x="130"/>
        <item x="17"/>
        <item x="98"/>
        <item x="2"/>
        <item x="61"/>
        <item x="5"/>
        <item x="127"/>
        <item x="99"/>
        <item x="109"/>
        <item x="116"/>
        <item x="96"/>
        <item m="1" x="140"/>
        <item x="120"/>
        <item x="121"/>
        <item x="123"/>
        <item x="105"/>
        <item x="106"/>
        <item x="139"/>
        <item t="default"/>
      </items>
    </pivotField>
    <pivotField axis="axisRow" showAll="0">
      <items count="40">
        <item x="30"/>
        <item x="17"/>
        <item x="6"/>
        <item x="14"/>
        <item x="35"/>
        <item x="26"/>
        <item x="8"/>
        <item x="25"/>
        <item x="7"/>
        <item x="3"/>
        <item x="18"/>
        <item x="21"/>
        <item x="23"/>
        <item x="13"/>
        <item x="22"/>
        <item x="34"/>
        <item x="2"/>
        <item x="19"/>
        <item m="1" x="38"/>
        <item x="4"/>
        <item x="20"/>
        <item x="28"/>
        <item x="27"/>
        <item x="10"/>
        <item x="0"/>
        <item x="12"/>
        <item x="36"/>
        <item x="11"/>
        <item x="32"/>
        <item x="16"/>
        <item x="1"/>
        <item x="9"/>
        <item x="15"/>
        <item x="29"/>
        <item x="24"/>
        <item m="1" x="37"/>
        <item x="5"/>
        <item x="31"/>
        <item x="33"/>
        <item t="default"/>
      </items>
    </pivotField>
    <pivotField axis="axisRow" showAll="0">
      <items count="185">
        <item x="38"/>
        <item x="124"/>
        <item x="116"/>
        <item m="1" x="148"/>
        <item x="31"/>
        <item x="68"/>
        <item x="12"/>
        <item x="74"/>
        <item x="32"/>
        <item x="130"/>
        <item x="54"/>
        <item x="43"/>
        <item x="110"/>
        <item x="75"/>
        <item x="97"/>
        <item x="131"/>
        <item x="115"/>
        <item m="1" x="150"/>
        <item x="137"/>
        <item x="9"/>
        <item x="27"/>
        <item x="57"/>
        <item x="96"/>
        <item x="2"/>
        <item x="19"/>
        <item x="140"/>
        <item x="134"/>
        <item x="138"/>
        <item m="1" x="183"/>
        <item m="1" x="181"/>
        <item x="109"/>
        <item x="76"/>
        <item x="108"/>
        <item x="123"/>
        <item x="25"/>
        <item x="11"/>
        <item x="4"/>
        <item x="37"/>
        <item x="77"/>
        <item x="107"/>
        <item x="23"/>
        <item m="1" x="162"/>
        <item m="1" x="141"/>
        <item m="1" x="149"/>
        <item m="1" x="163"/>
        <item x="99"/>
        <item m="1" x="169"/>
        <item m="1" x="180"/>
        <item x="3"/>
        <item x="128"/>
        <item m="1" x="160"/>
        <item x="80"/>
        <item x="35"/>
        <item x="36"/>
        <item m="1" x="147"/>
        <item x="118"/>
        <item m="1" x="182"/>
        <item x="72"/>
        <item x="52"/>
        <item x="125"/>
        <item x="47"/>
        <item x="111"/>
        <item x="114"/>
        <item x="122"/>
        <item x="71"/>
        <item x="67"/>
        <item x="41"/>
        <item x="117"/>
        <item x="102"/>
        <item m="1" x="166"/>
        <item x="70"/>
        <item x="7"/>
        <item x="10"/>
        <item x="45"/>
        <item m="1" x="176"/>
        <item m="1" x="175"/>
        <item x="133"/>
        <item x="126"/>
        <item x="120"/>
        <item x="119"/>
        <item m="1" x="168"/>
        <item x="59"/>
        <item m="1" x="179"/>
        <item m="1" x="174"/>
        <item m="1" x="173"/>
        <item m="1" x="154"/>
        <item m="1" x="171"/>
        <item x="46"/>
        <item x="51"/>
        <item x="90"/>
        <item x="6"/>
        <item x="58"/>
        <item x="81"/>
        <item m="1" x="178"/>
        <item x="82"/>
        <item x="8"/>
        <item m="1" x="157"/>
        <item x="83"/>
        <item x="98"/>
        <item x="21"/>
        <item x="84"/>
        <item x="85"/>
        <item x="17"/>
        <item x="129"/>
        <item x="60"/>
        <item m="1" x="152"/>
        <item x="53"/>
        <item x="5"/>
        <item x="100"/>
        <item x="127"/>
        <item x="48"/>
        <item x="139"/>
        <item m="1" x="151"/>
        <item x="30"/>
        <item x="95"/>
        <item x="66"/>
        <item x="113"/>
        <item x="86"/>
        <item m="1" x="172"/>
        <item x="29"/>
        <item x="26"/>
        <item x="65"/>
        <item x="49"/>
        <item x="20"/>
        <item x="18"/>
        <item x="94"/>
        <item x="33"/>
        <item x="22"/>
        <item m="1" x="170"/>
        <item x="64"/>
        <item x="28"/>
        <item x="136"/>
        <item x="50"/>
        <item x="121"/>
        <item x="56"/>
        <item x="42"/>
        <item x="16"/>
        <item x="14"/>
        <item x="55"/>
        <item x="69"/>
        <item x="61"/>
        <item m="1" x="161"/>
        <item x="34"/>
        <item x="104"/>
        <item x="0"/>
        <item x="112"/>
        <item m="1" x="165"/>
        <item x="73"/>
        <item x="1"/>
        <item x="15"/>
        <item x="135"/>
        <item x="62"/>
        <item m="1" x="164"/>
        <item x="87"/>
        <item m="1" x="146"/>
        <item x="132"/>
        <item m="1" x="159"/>
        <item m="1" x="142"/>
        <item x="106"/>
        <item m="1" x="144"/>
        <item x="40"/>
        <item x="39"/>
        <item x="63"/>
        <item x="13"/>
        <item m="1" x="177"/>
        <item m="1" x="145"/>
        <item x="105"/>
        <item x="44"/>
        <item x="101"/>
        <item x="103"/>
        <item m="1" x="158"/>
        <item m="1" x="153"/>
        <item m="1" x="156"/>
        <item m="1" x="155"/>
        <item m="1" x="167"/>
        <item x="89"/>
        <item x="24"/>
        <item m="1" x="143"/>
        <item x="92"/>
        <item x="93"/>
        <item x="88"/>
        <item x="91"/>
        <item x="78"/>
        <item x="79"/>
        <item t="default"/>
      </items>
    </pivotField>
    <pivotField showAll="0"/>
    <pivotField dataField="1"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dataField="1" showAll="0"/>
    <pivotField showAll="0"/>
    <pivotField dataField="1" showAll="0"/>
    <pivotField showAll="0"/>
    <pivotField dataField="1" showAll="0"/>
    <pivotField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s>
  <rowFields count="3">
    <field x="6"/>
    <field x="5"/>
    <field x="4"/>
  </rowFields>
  <rowItems count="79">
    <i>
      <x v="7"/>
    </i>
    <i r="1">
      <x v="31"/>
    </i>
    <i r="2">
      <x v="124"/>
    </i>
    <i>
      <x v="13"/>
    </i>
    <i r="1">
      <x v="16"/>
    </i>
    <i r="2">
      <x v="127"/>
    </i>
    <i>
      <x v="31"/>
    </i>
    <i r="1">
      <x/>
    </i>
    <i r="2">
      <x v="130"/>
    </i>
    <i>
      <x v="38"/>
    </i>
    <i r="1">
      <x v="8"/>
    </i>
    <i r="2">
      <x v="23"/>
    </i>
    <i r="2">
      <x v="67"/>
    </i>
    <i r="1">
      <x v="27"/>
    </i>
    <i r="2">
      <x v="7"/>
    </i>
    <i>
      <x v="51"/>
    </i>
    <i r="1">
      <x v="20"/>
    </i>
    <i r="2">
      <x v="78"/>
    </i>
    <i r="2">
      <x v="88"/>
    </i>
    <i r="2">
      <x v="108"/>
    </i>
    <i r="2">
      <x v="131"/>
    </i>
    <i>
      <x v="92"/>
    </i>
    <i r="1">
      <x v="12"/>
    </i>
    <i r="2">
      <x v="52"/>
    </i>
    <i>
      <x v="94"/>
    </i>
    <i r="1">
      <x v="17"/>
    </i>
    <i r="2">
      <x v="9"/>
    </i>
    <i r="1">
      <x v="25"/>
    </i>
    <i r="2">
      <x v="65"/>
    </i>
    <i r="1">
      <x v="36"/>
    </i>
    <i r="2">
      <x v="86"/>
    </i>
    <i>
      <x v="97"/>
    </i>
    <i r="1">
      <x v="24"/>
    </i>
    <i r="2">
      <x v="89"/>
    </i>
    <i r="1">
      <x v="36"/>
    </i>
    <i r="2">
      <x v="79"/>
    </i>
    <i>
      <x v="100"/>
    </i>
    <i r="1">
      <x v="24"/>
    </i>
    <i r="2">
      <x v="96"/>
    </i>
    <i>
      <x v="101"/>
    </i>
    <i r="1">
      <x v="3"/>
    </i>
    <i r="2">
      <x v="66"/>
    </i>
    <i r="1">
      <x v="24"/>
    </i>
    <i r="2">
      <x v="90"/>
    </i>
    <i r="1">
      <x v="31"/>
    </i>
    <i r="2">
      <x v="132"/>
    </i>
    <i r="1">
      <x v="36"/>
    </i>
    <i r="2">
      <x v="80"/>
    </i>
    <i>
      <x v="117"/>
    </i>
    <i r="1">
      <x v="24"/>
    </i>
    <i r="2">
      <x v="97"/>
    </i>
    <i>
      <x v="153"/>
    </i>
    <i r="1">
      <x v="9"/>
    </i>
    <i r="2">
      <x v="69"/>
    </i>
    <i r="1">
      <x v="24"/>
    </i>
    <i r="2">
      <x v="136"/>
    </i>
    <i r="1">
      <x v="31"/>
    </i>
    <i r="2">
      <x v="135"/>
    </i>
    <i r="1">
      <x v="36"/>
    </i>
    <i r="2">
      <x v="137"/>
    </i>
    <i>
      <x v="175"/>
    </i>
    <i r="1">
      <x v="30"/>
    </i>
    <i r="2">
      <x v="116"/>
    </i>
    <i>
      <x v="180"/>
    </i>
    <i r="1">
      <x v="32"/>
    </i>
    <i r="2">
      <x v="111"/>
    </i>
    <i>
      <x v="182"/>
    </i>
    <i r="1">
      <x v="9"/>
    </i>
    <i r="2">
      <x v="68"/>
    </i>
    <i r="1">
      <x v="24"/>
    </i>
    <i r="2">
      <x v="92"/>
    </i>
    <i>
      <x v="183"/>
    </i>
    <i r="1">
      <x v="7"/>
    </i>
    <i r="2">
      <x v="139"/>
    </i>
    <i r="1">
      <x v="9"/>
    </i>
    <i r="2">
      <x v="140"/>
    </i>
    <i r="1">
      <x v="36"/>
    </i>
    <i r="2">
      <x v="138"/>
    </i>
    <i t="grand">
      <x/>
    </i>
  </rowItems>
  <colFields count="1">
    <field x="-2"/>
  </colFields>
  <colItems count="6">
    <i>
      <x/>
    </i>
    <i i="1">
      <x v="1"/>
    </i>
    <i i="2">
      <x v="2"/>
    </i>
    <i i="3">
      <x v="3"/>
    </i>
    <i i="4">
      <x v="4"/>
    </i>
    <i i="5">
      <x v="5"/>
    </i>
  </colItems>
  <pageFields count="1">
    <pageField fld="0" hier="-1"/>
  </pageFields>
  <dataFields count="6">
    <dataField name="CIP Budget" fld="8" baseField="0" baseItem="9" numFmtId="165"/>
    <dataField name="PSA Costs" fld="11" baseField="0" baseItem="9" numFmtId="164"/>
    <dataField name="Construction Costs" fld="24" baseField="0" baseItem="9" numFmtId="164"/>
    <dataField name="COA Est Costs" fld="29" baseField="0" baseItem="9" numFmtId="164"/>
    <dataField name="Total Est Costs" fld="31" baseField="0" baseItem="9" numFmtId="164"/>
    <dataField name="Budget - Est Costs" fld="33" baseField="5" baseItem="7" numFmtId="8"/>
  </dataFields>
  <formats count="1">
    <format dxfId="77">
      <pivotArea collapsedLevelsAreSubtotals="1" fieldPosition="0">
        <references count="4">
          <reference field="4294967294" count="1" selected="0">
            <x v="5"/>
          </reference>
          <reference field="4" count="1">
            <x v="65"/>
          </reference>
          <reference field="5" count="1" selected="0">
            <x v="25"/>
          </reference>
          <reference field="6" count="1" selected="0">
            <x v="94"/>
          </reference>
        </references>
      </pivotArea>
    </format>
  </formats>
  <pivotTableStyleInfo name="FY CIP Projects"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1A919427-C15F-4080-B42E-8D8CE7F96755}" name="PivotTable5"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L3:M8" firstHeaderRow="1" firstDataRow="1" firstDataCol="1" rowPageCount="1" colPageCount="1"/>
  <pivotFields count="42">
    <pivotField showAll="0"/>
    <pivotField showAll="0"/>
    <pivotField showAll="0"/>
    <pivotField axis="axisRow" showAll="0">
      <items count="13">
        <item x="6"/>
        <item x="4"/>
        <item x="8"/>
        <item x="7"/>
        <item x="0"/>
        <item x="5"/>
        <item x="1"/>
        <item x="10"/>
        <item x="9"/>
        <item x="2"/>
        <item x="3"/>
        <item x="11"/>
        <item t="default"/>
      </items>
    </pivotField>
    <pivotField showAll="0"/>
    <pivotField showAll="0"/>
    <pivotField dataField="1" showAll="0"/>
    <pivotField axis="axisPage" multipleItemSelectionAllowed="1" showAll="0">
      <items count="11">
        <item x="7"/>
        <item h="1" x="3"/>
        <item h="1" x="0"/>
        <item x="2"/>
        <item m="1" x="9"/>
        <item h="1" x="1"/>
        <item h="1" x="5"/>
        <item h="1" m="1" x="8"/>
        <item h="1" x="6"/>
        <item h="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numFmtId="164" showAll="0"/>
    <pivotField numFmtId="164" showAll="0"/>
    <pivotField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s>
  <rowFields count="1">
    <field x="3"/>
  </rowFields>
  <rowItems count="5">
    <i>
      <x v="4"/>
    </i>
    <i>
      <x v="6"/>
    </i>
    <i>
      <x v="9"/>
    </i>
    <i>
      <x v="10"/>
    </i>
    <i t="grand">
      <x/>
    </i>
  </rowItems>
  <colItems count="1">
    <i/>
  </colItems>
  <pageFields count="1">
    <pageField fld="7" hier="-1"/>
  </pageFields>
  <dataFields count="1">
    <dataField name="Count of Project Name" fld="6" subtotal="count" baseField="0" baseItem="0"/>
  </dataFields>
  <chartFormats count="10">
    <chartFormat chart="2" format="0" series="1">
      <pivotArea type="data" outline="0" fieldPosition="0">
        <references count="1">
          <reference field="4294967294" count="1" selected="0">
            <x v="0"/>
          </reference>
        </references>
      </pivotArea>
    </chartFormat>
    <chartFormat chart="2" format="1">
      <pivotArea type="data" outline="0" fieldPosition="0">
        <references count="2">
          <reference field="4294967294" count="1" selected="0">
            <x v="0"/>
          </reference>
          <reference field="3" count="1" selected="0">
            <x v="4"/>
          </reference>
        </references>
      </pivotArea>
    </chartFormat>
    <chartFormat chart="2" format="2">
      <pivotArea type="data" outline="0" fieldPosition="0">
        <references count="2">
          <reference field="4294967294" count="1" selected="0">
            <x v="0"/>
          </reference>
          <reference field="3" count="1" selected="0">
            <x v="6"/>
          </reference>
        </references>
      </pivotArea>
    </chartFormat>
    <chartFormat chart="2" format="3">
      <pivotArea type="data" outline="0" fieldPosition="0">
        <references count="2">
          <reference field="4294967294" count="1" selected="0">
            <x v="0"/>
          </reference>
          <reference field="3" count="1" selected="0">
            <x v="9"/>
          </reference>
        </references>
      </pivotArea>
    </chartFormat>
    <chartFormat chart="2" format="4">
      <pivotArea type="data" outline="0" fieldPosition="0">
        <references count="2">
          <reference field="4294967294" count="1" selected="0">
            <x v="0"/>
          </reference>
          <reference field="3" count="1" selected="0">
            <x v="10"/>
          </reference>
        </references>
      </pivotArea>
    </chartFormat>
    <chartFormat chart="6" format="5" series="1">
      <pivotArea type="data" outline="0" fieldPosition="0">
        <references count="1">
          <reference field="4294967294" count="1" selected="0">
            <x v="0"/>
          </reference>
        </references>
      </pivotArea>
    </chartFormat>
    <chartFormat chart="6" format="6">
      <pivotArea type="data" outline="0" fieldPosition="0">
        <references count="2">
          <reference field="4294967294" count="1" selected="0">
            <x v="0"/>
          </reference>
          <reference field="3" count="1" selected="0">
            <x v="4"/>
          </reference>
        </references>
      </pivotArea>
    </chartFormat>
    <chartFormat chart="6" format="7">
      <pivotArea type="data" outline="0" fieldPosition="0">
        <references count="2">
          <reference field="4294967294" count="1" selected="0">
            <x v="0"/>
          </reference>
          <reference field="3" count="1" selected="0">
            <x v="6"/>
          </reference>
        </references>
      </pivotArea>
    </chartFormat>
    <chartFormat chart="6" format="8">
      <pivotArea type="data" outline="0" fieldPosition="0">
        <references count="2">
          <reference field="4294967294" count="1" selected="0">
            <x v="0"/>
          </reference>
          <reference field="3" count="1" selected="0">
            <x v="9"/>
          </reference>
        </references>
      </pivotArea>
    </chartFormat>
    <chartFormat chart="6" format="9">
      <pivotArea type="data" outline="0" fieldPosition="0">
        <references count="2">
          <reference field="4294967294" count="1" selected="0">
            <x v="0"/>
          </reference>
          <reference field="3" count="1" selected="0">
            <x v="1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0B8E2FA5-6501-4338-BE87-C6A180665AFE}" name="PivotTable4"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Program(s) Per Project">
  <location ref="A3:G10" firstHeaderRow="0" firstDataRow="1" firstDataCol="1" rowPageCount="1" colPageCount="1"/>
  <pivotFields count="42">
    <pivotField showAll="0"/>
    <pivotField showAll="0"/>
    <pivotField showAll="0"/>
    <pivotField showAll="0"/>
    <pivotField showAll="0"/>
    <pivotField showAll="0"/>
    <pivotField axis="axisRow" showAll="0">
      <items count="185">
        <item x="38"/>
        <item x="124"/>
        <item x="116"/>
        <item x="31"/>
        <item x="68"/>
        <item x="12"/>
        <item x="32"/>
        <item x="54"/>
        <item x="43"/>
        <item x="110"/>
        <item x="75"/>
        <item x="115"/>
        <item x="9"/>
        <item x="27"/>
        <item x="57"/>
        <item x="96"/>
        <item x="2"/>
        <item x="19"/>
        <item m="1" x="183"/>
        <item m="1" x="181"/>
        <item x="76"/>
        <item x="108"/>
        <item x="123"/>
        <item x="25"/>
        <item x="11"/>
        <item x="4"/>
        <item x="37"/>
        <item x="77"/>
        <item x="107"/>
        <item x="23"/>
        <item m="1" x="163"/>
        <item m="1" x="169"/>
        <item m="1" x="180"/>
        <item m="1" x="160"/>
        <item x="35"/>
        <item x="36"/>
        <item m="1" x="147"/>
        <item m="1" x="182"/>
        <item x="72"/>
        <item x="52"/>
        <item x="47"/>
        <item x="111"/>
        <item x="114"/>
        <item x="122"/>
        <item x="71"/>
        <item x="67"/>
        <item x="41"/>
        <item x="117"/>
        <item x="102"/>
        <item m="1" x="166"/>
        <item x="7"/>
        <item x="10"/>
        <item x="45"/>
        <item m="1" x="176"/>
        <item m="1" x="175"/>
        <item x="120"/>
        <item m="1" x="179"/>
        <item m="1" x="173"/>
        <item m="1" x="154"/>
        <item m="1" x="171"/>
        <item x="46"/>
        <item x="81"/>
        <item m="1" x="178"/>
        <item x="8"/>
        <item m="1" x="157"/>
        <item x="21"/>
        <item x="85"/>
        <item x="17"/>
        <item x="60"/>
        <item m="1" x="152"/>
        <item x="5"/>
        <item x="100"/>
        <item x="48"/>
        <item m="1" x="151"/>
        <item x="30"/>
        <item x="66"/>
        <item x="113"/>
        <item m="1" x="172"/>
        <item x="29"/>
        <item x="26"/>
        <item x="65"/>
        <item x="49"/>
        <item x="20"/>
        <item x="18"/>
        <item x="94"/>
        <item x="33"/>
        <item x="22"/>
        <item m="1" x="170"/>
        <item x="28"/>
        <item x="50"/>
        <item x="121"/>
        <item x="42"/>
        <item x="16"/>
        <item x="14"/>
        <item x="55"/>
        <item x="69"/>
        <item x="61"/>
        <item m="1" x="161"/>
        <item x="34"/>
        <item x="104"/>
        <item x="0"/>
        <item x="112"/>
        <item m="1" x="165"/>
        <item x="1"/>
        <item x="15"/>
        <item x="62"/>
        <item m="1" x="164"/>
        <item m="1" x="159"/>
        <item x="106"/>
        <item x="39"/>
        <item x="63"/>
        <item x="13"/>
        <item m="1" x="177"/>
        <item m="1" x="145"/>
        <item x="44"/>
        <item x="101"/>
        <item x="103"/>
        <item m="1" x="158"/>
        <item m="1" x="156"/>
        <item m="1" x="155"/>
        <item m="1" x="167"/>
        <item m="1" x="143"/>
        <item x="3"/>
        <item x="109"/>
        <item x="118"/>
        <item m="1" x="174"/>
        <item x="105"/>
        <item x="82"/>
        <item x="125"/>
        <item x="58"/>
        <item x="90"/>
        <item x="6"/>
        <item x="51"/>
        <item x="56"/>
        <item x="89"/>
        <item x="83"/>
        <item x="70"/>
        <item x="64"/>
        <item m="1" x="168"/>
        <item x="84"/>
        <item x="87"/>
        <item x="59"/>
        <item x="74"/>
        <item x="24"/>
        <item x="99"/>
        <item x="40"/>
        <item x="73"/>
        <item x="97"/>
        <item x="127"/>
        <item x="129"/>
        <item x="130"/>
        <item x="98"/>
        <item m="1" x="162"/>
        <item m="1" x="141"/>
        <item m="1" x="149"/>
        <item m="1" x="146"/>
        <item m="1" x="148"/>
        <item m="1" x="142"/>
        <item x="128"/>
        <item x="86"/>
        <item x="133"/>
        <item x="126"/>
        <item x="134"/>
        <item x="138"/>
        <item x="140"/>
        <item x="139"/>
        <item x="135"/>
        <item m="1" x="153"/>
        <item x="80"/>
        <item m="1" x="150"/>
        <item x="132"/>
        <item x="136"/>
        <item x="53"/>
        <item x="95"/>
        <item x="119"/>
        <item x="131"/>
        <item x="137"/>
        <item m="1" x="144"/>
        <item x="92"/>
        <item x="93"/>
        <item x="88"/>
        <item x="91"/>
        <item x="78"/>
        <item x="79"/>
        <item t="default"/>
      </items>
    </pivotField>
    <pivotField axis="axisPage" multipleItemSelectionAllowed="1" showAll="0">
      <items count="11">
        <item h="1" x="7"/>
        <item x="3"/>
        <item h="1" x="0"/>
        <item h="1" x="2"/>
        <item h="1" m="1" x="9"/>
        <item h="1" x="1"/>
        <item h="1" x="5"/>
        <item h="1" m="1" x="8"/>
        <item h="1" x="6"/>
        <item h="1" x="4"/>
        <item t="default"/>
      </items>
    </pivotField>
    <pivotField dataField="1"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dataField="1" showAll="0"/>
    <pivotField dataField="1" showAll="0"/>
    <pivotField showAll="0"/>
    <pivotField numFmtId="164" showAll="0"/>
    <pivotField numFmtId="164" showAll="0"/>
    <pivotField numFmtId="164" showAll="0"/>
    <pivotField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s>
  <rowFields count="1">
    <field x="6"/>
  </rowFields>
  <rowItems count="7">
    <i>
      <x v="72"/>
    </i>
    <i>
      <x v="86"/>
    </i>
    <i>
      <x v="91"/>
    </i>
    <i>
      <x v="114"/>
    </i>
    <i>
      <x v="133"/>
    </i>
    <i>
      <x v="136"/>
    </i>
    <i t="grand">
      <x/>
    </i>
  </rowItems>
  <colFields count="1">
    <field x="-2"/>
  </colFields>
  <colItems count="6">
    <i>
      <x/>
    </i>
    <i i="1">
      <x v="1"/>
    </i>
    <i i="2">
      <x v="2"/>
    </i>
    <i i="3">
      <x v="3"/>
    </i>
    <i i="4">
      <x v="4"/>
    </i>
    <i i="5">
      <x v="5"/>
    </i>
  </colItems>
  <pageFields count="1">
    <pageField fld="7" hier="-1"/>
  </pageFields>
  <dataFields count="6">
    <dataField name="Sum of Overall Budget" fld="8" baseField="6" baseItem="5" numFmtId="44"/>
    <dataField name="Sum of Actual PSA Spent" fld="12" baseField="0" baseItem="0" numFmtId="44"/>
    <dataField name="Sum of Engineer's Est" fld="24" baseField="0" baseItem="0" numFmtId="44"/>
    <dataField name="Sum of Bid Amount" fld="25" baseField="0" baseItem="0" numFmtId="44"/>
    <dataField name="Sum of Final Construction Costs" fld="28" baseField="0" baseItem="0" numFmtId="44"/>
    <dataField name="Sum of Estimated COA_x000a_Engineering / _x000a_Admin" fld="29" baseField="0" baseItem="0" numFmtId="44"/>
  </dataFields>
  <formats count="1">
    <format dxfId="72">
      <pivotArea collapsedLevelsAreSubtotals="1" fieldPosition="0">
        <references count="2">
          <reference field="4294967294" count="1" selected="0">
            <x v="5"/>
          </reference>
          <reference field="6" count="1">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30E0457A-DAE0-40EE-B831-18C57D09219C}" name="PivotTable5"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E3:F10" firstHeaderRow="1" firstDataRow="1" firstDataCol="1" rowPageCount="1" colPageCount="1"/>
  <pivotFields count="42">
    <pivotField showAll="0"/>
    <pivotField showAll="0"/>
    <pivotField showAll="0"/>
    <pivotField axis="axisRow" showAll="0">
      <items count="13">
        <item x="6"/>
        <item x="4"/>
        <item x="8"/>
        <item x="7"/>
        <item x="0"/>
        <item x="5"/>
        <item x="1"/>
        <item x="2"/>
        <item x="10"/>
        <item x="9"/>
        <item x="3"/>
        <item x="11"/>
        <item t="default"/>
      </items>
    </pivotField>
    <pivotField showAll="0"/>
    <pivotField showAll="0"/>
    <pivotField dataField="1" showAll="0"/>
    <pivotField axis="axisPage" multipleItemSelectionAllowed="1" showAll="0">
      <items count="11">
        <item h="1" x="7"/>
        <item h="1" x="3"/>
        <item h="1" x="0"/>
        <item h="1" x="2"/>
        <item h="1" m="1" x="9"/>
        <item x="1"/>
        <item h="1" x="5"/>
        <item h="1" m="1" x="8"/>
        <item h="1" x="6"/>
        <item h="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numFmtId="164" showAll="0"/>
    <pivotField numFmtId="164" showAll="0"/>
    <pivotField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s>
  <rowFields count="1">
    <field x="3"/>
  </rowFields>
  <rowItems count="7">
    <i>
      <x v="4"/>
    </i>
    <i>
      <x v="5"/>
    </i>
    <i>
      <x v="6"/>
    </i>
    <i>
      <x v="7"/>
    </i>
    <i>
      <x v="8"/>
    </i>
    <i>
      <x v="10"/>
    </i>
    <i t="grand">
      <x/>
    </i>
  </rowItems>
  <colItems count="1">
    <i/>
  </colItems>
  <pageFields count="1">
    <pageField fld="7" hier="-1"/>
  </pageFields>
  <dataFields count="1">
    <dataField name="Count of Project Name" fld="6" subtotal="count" baseField="0" baseItem="0"/>
  </dataFields>
  <chartFormats count="12">
    <chartFormat chart="2" format="0" series="1">
      <pivotArea type="data" outline="0" fieldPosition="0">
        <references count="1">
          <reference field="4294967294" count="1" selected="0">
            <x v="0"/>
          </reference>
        </references>
      </pivotArea>
    </chartFormat>
    <chartFormat chart="2" format="1">
      <pivotArea type="data" outline="0" fieldPosition="0">
        <references count="2">
          <reference field="4294967294" count="1" selected="0">
            <x v="0"/>
          </reference>
          <reference field="3" count="1" selected="0">
            <x v="4"/>
          </reference>
        </references>
      </pivotArea>
    </chartFormat>
    <chartFormat chart="2" format="2">
      <pivotArea type="data" outline="0" fieldPosition="0">
        <references count="2">
          <reference field="4294967294" count="1" selected="0">
            <x v="0"/>
          </reference>
          <reference field="3" count="1" selected="0">
            <x v="6"/>
          </reference>
        </references>
      </pivotArea>
    </chartFormat>
    <chartFormat chart="2" format="3">
      <pivotArea type="data" outline="0" fieldPosition="0">
        <references count="2">
          <reference field="4294967294" count="1" selected="0">
            <x v="0"/>
          </reference>
          <reference field="3" count="1" selected="0">
            <x v="7"/>
          </reference>
        </references>
      </pivotArea>
    </chartFormat>
    <chartFormat chart="2" format="4">
      <pivotArea type="data" outline="0" fieldPosition="0">
        <references count="2">
          <reference field="4294967294" count="1" selected="0">
            <x v="0"/>
          </reference>
          <reference field="3" count="1" selected="0">
            <x v="10"/>
          </reference>
        </references>
      </pivotArea>
    </chartFormat>
    <chartFormat chart="6" format="5" series="1">
      <pivotArea type="data" outline="0" fieldPosition="0">
        <references count="1">
          <reference field="4294967294" count="1" selected="0">
            <x v="0"/>
          </reference>
        </references>
      </pivotArea>
    </chartFormat>
    <chartFormat chart="6" format="6">
      <pivotArea type="data" outline="0" fieldPosition="0">
        <references count="2">
          <reference field="4294967294" count="1" selected="0">
            <x v="0"/>
          </reference>
          <reference field="3" count="1" selected="0">
            <x v="4"/>
          </reference>
        </references>
      </pivotArea>
    </chartFormat>
    <chartFormat chart="6" format="7">
      <pivotArea type="data" outline="0" fieldPosition="0">
        <references count="2">
          <reference field="4294967294" count="1" selected="0">
            <x v="0"/>
          </reference>
          <reference field="3" count="1" selected="0">
            <x v="6"/>
          </reference>
        </references>
      </pivotArea>
    </chartFormat>
    <chartFormat chart="6" format="8">
      <pivotArea type="data" outline="0" fieldPosition="0">
        <references count="2">
          <reference field="4294967294" count="1" selected="0">
            <x v="0"/>
          </reference>
          <reference field="3" count="1" selected="0">
            <x v="7"/>
          </reference>
        </references>
      </pivotArea>
    </chartFormat>
    <chartFormat chart="6" format="9">
      <pivotArea type="data" outline="0" fieldPosition="0">
        <references count="2">
          <reference field="4294967294" count="1" selected="0">
            <x v="0"/>
          </reference>
          <reference field="3" count="1" selected="0">
            <x v="10"/>
          </reference>
        </references>
      </pivotArea>
    </chartFormat>
    <chartFormat chart="6" format="10">
      <pivotArea type="data" outline="0" fieldPosition="0">
        <references count="2">
          <reference field="4294967294" count="1" selected="0">
            <x v="0"/>
          </reference>
          <reference field="3" count="1" selected="0">
            <x v="5"/>
          </reference>
        </references>
      </pivotArea>
    </chartFormat>
    <chartFormat chart="6" format="11">
      <pivotArea type="data" outline="0" fieldPosition="0">
        <references count="2">
          <reference field="4294967294" count="1" selected="0">
            <x v="0"/>
          </reference>
          <reference field="3"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BF787E5B-7E38-4764-A297-4537A76B0B1F}" name="PivotTable7"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8">
  <location ref="E27:E28" firstHeaderRow="1" firstDataRow="1" firstDataCol="0" rowPageCount="1" colPageCount="1"/>
  <pivotFields count="42">
    <pivotField showAll="0"/>
    <pivotField showAll="0"/>
    <pivotField showAll="0"/>
    <pivotField showAll="0"/>
    <pivotField showAll="0"/>
    <pivotField showAll="0"/>
    <pivotField showAll="0"/>
    <pivotField axis="axisPage" showAll="0">
      <items count="11">
        <item x="7"/>
        <item x="3"/>
        <item x="0"/>
        <item x="2"/>
        <item m="1" x="9"/>
        <item x="1"/>
        <item x="5"/>
        <item m="1" x="8"/>
        <item x="6"/>
        <item x="4"/>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numFmtId="164" showAll="0"/>
    <pivotField numFmtId="164" showAll="0"/>
    <pivotField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s>
  <rowItems count="1">
    <i/>
  </rowItems>
  <colItems count="1">
    <i/>
  </colItems>
  <pageFields count="1">
    <pageField fld="7" item="5" hier="-1"/>
  </pageFields>
  <dataFields count="1">
    <dataField name="Sum of Overall Budget" fld="8" baseField="5" baseItem="2" numFmtId="44"/>
  </dataFields>
  <chartFormats count="2">
    <chartFormat chart="4" format="22" series="1">
      <pivotArea type="data" outline="0" fieldPosition="0">
        <references count="1">
          <reference field="4294967294" count="1" selected="0">
            <x v="0"/>
          </reference>
        </references>
      </pivotArea>
    </chartFormat>
    <chartFormat chart="4" format="37">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6835253A-8AF1-4BA0-B2C0-974049D24F12}" name="PivotTable4"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C52" firstHeaderRow="0" firstDataRow="1" firstDataCol="1" rowPageCount="1" colPageCount="1"/>
  <pivotFields count="42">
    <pivotField showAll="0"/>
    <pivotField showAll="0"/>
    <pivotField showAll="0"/>
    <pivotField showAll="0"/>
    <pivotField showAll="0"/>
    <pivotField showAll="0"/>
    <pivotField axis="axisRow" showAll="0">
      <items count="185">
        <item x="38"/>
        <item x="124"/>
        <item x="116"/>
        <item x="31"/>
        <item x="68"/>
        <item x="12"/>
        <item x="32"/>
        <item x="54"/>
        <item x="43"/>
        <item x="110"/>
        <item x="75"/>
        <item x="115"/>
        <item x="9"/>
        <item x="27"/>
        <item x="57"/>
        <item x="96"/>
        <item x="2"/>
        <item x="19"/>
        <item m="1" x="183"/>
        <item m="1" x="181"/>
        <item x="76"/>
        <item x="108"/>
        <item x="123"/>
        <item x="25"/>
        <item x="11"/>
        <item x="4"/>
        <item x="37"/>
        <item x="77"/>
        <item x="107"/>
        <item x="23"/>
        <item m="1" x="163"/>
        <item m="1" x="169"/>
        <item m="1" x="180"/>
        <item m="1" x="160"/>
        <item x="35"/>
        <item x="36"/>
        <item m="1" x="147"/>
        <item m="1" x="182"/>
        <item x="72"/>
        <item x="52"/>
        <item x="47"/>
        <item x="111"/>
        <item x="114"/>
        <item x="122"/>
        <item x="71"/>
        <item x="67"/>
        <item x="41"/>
        <item x="117"/>
        <item x="102"/>
        <item m="1" x="166"/>
        <item x="7"/>
        <item x="10"/>
        <item x="45"/>
        <item m="1" x="176"/>
        <item m="1" x="175"/>
        <item x="120"/>
        <item m="1" x="179"/>
        <item m="1" x="173"/>
        <item m="1" x="154"/>
        <item m="1" x="171"/>
        <item x="46"/>
        <item x="81"/>
        <item m="1" x="178"/>
        <item x="8"/>
        <item m="1" x="157"/>
        <item x="21"/>
        <item x="85"/>
        <item x="17"/>
        <item x="60"/>
        <item m="1" x="152"/>
        <item x="5"/>
        <item x="100"/>
        <item x="48"/>
        <item m="1" x="151"/>
        <item x="30"/>
        <item x="66"/>
        <item x="113"/>
        <item m="1" x="172"/>
        <item x="29"/>
        <item x="26"/>
        <item x="65"/>
        <item x="49"/>
        <item x="20"/>
        <item x="18"/>
        <item x="94"/>
        <item x="33"/>
        <item x="22"/>
        <item m="1" x="170"/>
        <item x="28"/>
        <item x="50"/>
        <item x="121"/>
        <item x="42"/>
        <item x="16"/>
        <item x="14"/>
        <item x="55"/>
        <item x="69"/>
        <item x="61"/>
        <item m="1" x="161"/>
        <item x="34"/>
        <item x="104"/>
        <item x="0"/>
        <item x="112"/>
        <item m="1" x="165"/>
        <item x="1"/>
        <item x="15"/>
        <item x="62"/>
        <item m="1" x="164"/>
        <item m="1" x="159"/>
        <item x="106"/>
        <item x="39"/>
        <item x="63"/>
        <item x="13"/>
        <item m="1" x="177"/>
        <item m="1" x="145"/>
        <item x="44"/>
        <item x="101"/>
        <item x="103"/>
        <item m="1" x="158"/>
        <item m="1" x="156"/>
        <item m="1" x="155"/>
        <item m="1" x="167"/>
        <item m="1" x="143"/>
        <item x="3"/>
        <item x="109"/>
        <item x="118"/>
        <item m="1" x="174"/>
        <item x="105"/>
        <item x="82"/>
        <item x="125"/>
        <item x="58"/>
        <item x="90"/>
        <item x="6"/>
        <item x="51"/>
        <item x="56"/>
        <item x="89"/>
        <item x="83"/>
        <item x="70"/>
        <item x="64"/>
        <item m="1" x="168"/>
        <item x="84"/>
        <item x="87"/>
        <item x="59"/>
        <item x="74"/>
        <item x="24"/>
        <item x="99"/>
        <item x="40"/>
        <item x="73"/>
        <item x="97"/>
        <item x="127"/>
        <item x="129"/>
        <item x="130"/>
        <item x="98"/>
        <item m="1" x="162"/>
        <item m="1" x="141"/>
        <item m="1" x="149"/>
        <item m="1" x="146"/>
        <item m="1" x="148"/>
        <item m="1" x="142"/>
        <item x="128"/>
        <item x="86"/>
        <item x="133"/>
        <item x="126"/>
        <item x="134"/>
        <item x="138"/>
        <item x="140"/>
        <item x="139"/>
        <item x="135"/>
        <item m="1" x="153"/>
        <item x="80"/>
        <item m="1" x="150"/>
        <item x="132"/>
        <item x="136"/>
        <item x="53"/>
        <item x="95"/>
        <item x="119"/>
        <item x="131"/>
        <item x="137"/>
        <item m="1" x="144"/>
        <item x="92"/>
        <item x="93"/>
        <item x="88"/>
        <item x="91"/>
        <item x="78"/>
        <item x="79"/>
        <item t="default"/>
      </items>
    </pivotField>
    <pivotField axis="axisPage" multipleItemSelectionAllowed="1" showAll="0">
      <items count="11">
        <item h="1" x="7"/>
        <item h="1" x="3"/>
        <item h="1" x="0"/>
        <item h="1" x="2"/>
        <item h="1" m="1" x="9"/>
        <item x="1"/>
        <item h="1" x="5"/>
        <item h="1" m="1" x="8"/>
        <item h="1" x="6"/>
        <item h="1" x="4"/>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numFmtId="164" showAll="0"/>
    <pivotField numFmtId="164" showAll="0"/>
    <pivotField numFmtId="164" showAll="0"/>
    <pivotField showAll="0"/>
    <pivotField showAll="0"/>
    <pivotField axis="axisRow" showAll="0">
      <items count="4">
        <item x="0"/>
        <item x="1"/>
        <item x="2"/>
        <item t="default"/>
      </items>
    </pivotField>
    <pivotField showAll="0"/>
    <pivotField showAll="0"/>
    <pivotField dragToRow="0" dragToCol="0" dragToPage="0" showAll="0" defaultSubtotal="0"/>
    <pivotField dragToRow="0" dragToCol="0" dragToPage="0" showAll="0" defaultSubtotal="0"/>
    <pivotField dragToRow="0" dragToCol="0" dragToPage="0" showAll="0" defaultSubtotal="0"/>
  </pivotFields>
  <rowFields count="2">
    <field x="6"/>
    <field x="36"/>
  </rowFields>
  <rowItems count="49">
    <i>
      <x v="10"/>
    </i>
    <i r="1">
      <x/>
    </i>
    <i>
      <x v="20"/>
    </i>
    <i r="1">
      <x/>
    </i>
    <i>
      <x v="26"/>
    </i>
    <i r="1">
      <x/>
    </i>
    <i>
      <x v="27"/>
    </i>
    <i r="1">
      <x v="1"/>
    </i>
    <i>
      <x v="35"/>
    </i>
    <i r="1">
      <x/>
    </i>
    <i>
      <x v="38"/>
    </i>
    <i r="1">
      <x/>
    </i>
    <i>
      <x v="45"/>
    </i>
    <i r="1">
      <x/>
    </i>
    <i>
      <x v="46"/>
    </i>
    <i r="1">
      <x/>
    </i>
    <i>
      <x v="61"/>
    </i>
    <i r="1">
      <x v="2"/>
    </i>
    <i>
      <x v="66"/>
    </i>
    <i r="1">
      <x v="1"/>
    </i>
    <i>
      <x v="103"/>
    </i>
    <i r="1">
      <x v="1"/>
    </i>
    <i>
      <x v="105"/>
    </i>
    <i r="1">
      <x/>
    </i>
    <i>
      <x v="127"/>
    </i>
    <i r="1">
      <x/>
    </i>
    <i>
      <x v="132"/>
    </i>
    <i r="1">
      <x/>
    </i>
    <i>
      <x v="134"/>
    </i>
    <i r="1">
      <x v="1"/>
    </i>
    <i>
      <x v="135"/>
    </i>
    <i r="1">
      <x v="2"/>
    </i>
    <i>
      <x v="140"/>
    </i>
    <i r="1">
      <x v="1"/>
    </i>
    <i r="1">
      <x v="2"/>
    </i>
    <i>
      <x v="145"/>
    </i>
    <i r="1">
      <x v="2"/>
    </i>
    <i>
      <x v="159"/>
    </i>
    <i r="1">
      <x v="2"/>
    </i>
    <i>
      <x v="172"/>
    </i>
    <i r="1">
      <x/>
    </i>
    <i>
      <x v="180"/>
    </i>
    <i r="1">
      <x v="2"/>
    </i>
    <i>
      <x v="182"/>
    </i>
    <i r="1">
      <x v="1"/>
    </i>
    <i>
      <x v="183"/>
    </i>
    <i r="1">
      <x v="1"/>
    </i>
    <i r="1">
      <x v="2"/>
    </i>
    <i t="grand">
      <x/>
    </i>
  </rowItems>
  <colFields count="1">
    <field x="-2"/>
  </colFields>
  <colItems count="2">
    <i>
      <x/>
    </i>
    <i i="1">
      <x v="1"/>
    </i>
  </colItems>
  <pageFields count="1">
    <pageField fld="7" hier="-1"/>
  </pageFields>
  <dataFields count="2">
    <dataField name="Sum of Overall Budget" fld="8" baseField="6" baseItem="7" numFmtId="44"/>
    <dataField name="Sum of Engineer's Est" fld="24" baseField="6" baseItem="1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2D7A65AC-C7DA-4C6E-8B85-94E276617A86}" name="PivotTable2"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Account/Location">
  <location ref="A4:F35" firstHeaderRow="0" firstDataRow="1" firstDataCol="1" rowPageCount="2" colPageCount="1"/>
  <pivotFields count="42">
    <pivotField showAll="0"/>
    <pivotField showAll="0"/>
    <pivotField axis="axisPage" showAll="0">
      <items count="28">
        <item x="2"/>
        <item x="6"/>
        <item x="10"/>
        <item x="13"/>
        <item x="14"/>
        <item x="16"/>
        <item x="17"/>
        <item x="18"/>
        <item x="4"/>
        <item m="1" x="25"/>
        <item x="15"/>
        <item x="11"/>
        <item x="8"/>
        <item x="12"/>
        <item x="0"/>
        <item x="3"/>
        <item x="1"/>
        <item x="7"/>
        <item x="5"/>
        <item x="19"/>
        <item x="20"/>
        <item x="21"/>
        <item m="1" x="26"/>
        <item x="22"/>
        <item x="23"/>
        <item x="24"/>
        <item x="9"/>
        <item t="default"/>
      </items>
    </pivotField>
    <pivotField showAll="0"/>
    <pivotField axis="axisRow" showAll="0">
      <items count="142">
        <item x="31"/>
        <item x="42"/>
        <item x="54"/>
        <item x="19"/>
        <item x="22"/>
        <item x="101"/>
        <item x="44"/>
        <item x="12"/>
        <item x="70"/>
        <item x="13"/>
        <item x="43"/>
        <item x="14"/>
        <item x="6"/>
        <item x="7"/>
        <item x="39"/>
        <item x="79"/>
        <item x="64"/>
        <item x="26"/>
        <item x="21"/>
        <item x="23"/>
        <item x="92"/>
        <item x="85"/>
        <item x="3"/>
        <item x="20"/>
        <item x="83"/>
        <item x="52"/>
        <item x="88"/>
        <item x="9"/>
        <item x="11"/>
        <item x="84"/>
        <item x="24"/>
        <item x="25"/>
        <item x="89"/>
        <item x="27"/>
        <item x="28"/>
        <item x="30"/>
        <item x="18"/>
        <item x="49"/>
        <item x="50"/>
        <item x="48"/>
        <item x="128"/>
        <item x="56"/>
        <item x="90"/>
        <item x="51"/>
        <item x="40"/>
        <item x="41"/>
        <item x="93"/>
        <item x="72"/>
        <item x="71"/>
        <item x="69"/>
        <item x="73"/>
        <item x="74"/>
        <item x="45"/>
        <item x="94"/>
        <item x="76"/>
        <item x="46"/>
        <item x="75"/>
        <item x="15"/>
        <item x="29"/>
        <item x="8"/>
        <item x="53"/>
        <item x="66"/>
        <item x="16"/>
        <item x="0"/>
        <item x="57"/>
        <item x="36"/>
        <item x="59"/>
        <item x="37"/>
        <item x="38"/>
        <item x="60"/>
        <item x="62"/>
        <item x="63"/>
        <item x="78"/>
        <item x="55"/>
        <item x="32"/>
        <item x="129"/>
        <item x="87"/>
        <item x="33"/>
        <item x="34"/>
        <item x="1"/>
        <item x="4"/>
        <item x="35"/>
        <item x="58"/>
        <item x="77"/>
        <item x="97"/>
        <item x="17"/>
        <item x="98"/>
        <item x="2"/>
        <item x="61"/>
        <item x="5"/>
        <item x="127"/>
        <item x="67"/>
        <item x="81"/>
        <item x="80"/>
        <item x="114"/>
        <item x="113"/>
        <item x="100"/>
        <item x="104"/>
        <item x="112"/>
        <item x="131"/>
        <item x="132"/>
        <item x="111"/>
        <item x="130"/>
        <item x="103"/>
        <item x="118"/>
        <item x="119"/>
        <item x="124"/>
        <item x="122"/>
        <item x="117"/>
        <item x="82"/>
        <item x="115"/>
        <item x="68"/>
        <item x="65"/>
        <item x="125"/>
        <item x="126"/>
        <item x="110"/>
        <item x="134"/>
        <item x="133"/>
        <item x="108"/>
        <item x="135"/>
        <item x="136"/>
        <item x="137"/>
        <item x="138"/>
        <item x="86"/>
        <item x="95"/>
        <item x="107"/>
        <item x="91"/>
        <item x="10"/>
        <item x="47"/>
        <item x="102"/>
        <item x="99"/>
        <item x="109"/>
        <item x="116"/>
        <item x="96"/>
        <item m="1" x="140"/>
        <item x="120"/>
        <item x="121"/>
        <item x="123"/>
        <item x="105"/>
        <item x="106"/>
        <item x="139"/>
        <item t="default"/>
      </items>
    </pivotField>
    <pivotField showAll="0"/>
    <pivotField axis="axisRow" showAll="0">
      <items count="185">
        <item x="38"/>
        <item x="124"/>
        <item x="116"/>
        <item x="31"/>
        <item x="68"/>
        <item x="12"/>
        <item x="32"/>
        <item x="54"/>
        <item x="43"/>
        <item x="110"/>
        <item x="75"/>
        <item x="115"/>
        <item x="9"/>
        <item x="27"/>
        <item x="57"/>
        <item x="96"/>
        <item x="2"/>
        <item x="19"/>
        <item m="1" x="183"/>
        <item m="1" x="181"/>
        <item x="76"/>
        <item x="108"/>
        <item x="123"/>
        <item x="25"/>
        <item x="11"/>
        <item x="4"/>
        <item x="37"/>
        <item x="77"/>
        <item x="107"/>
        <item x="23"/>
        <item m="1" x="163"/>
        <item m="1" x="169"/>
        <item m="1" x="180"/>
        <item m="1" x="160"/>
        <item x="35"/>
        <item x="36"/>
        <item m="1" x="147"/>
        <item m="1" x="182"/>
        <item x="72"/>
        <item x="52"/>
        <item x="47"/>
        <item x="111"/>
        <item x="114"/>
        <item x="122"/>
        <item x="71"/>
        <item x="67"/>
        <item x="41"/>
        <item x="117"/>
        <item x="102"/>
        <item m="1" x="166"/>
        <item x="7"/>
        <item x="10"/>
        <item x="45"/>
        <item m="1" x="176"/>
        <item m="1" x="175"/>
        <item x="120"/>
        <item m="1" x="179"/>
        <item m="1" x="173"/>
        <item m="1" x="154"/>
        <item m="1" x="171"/>
        <item x="46"/>
        <item x="81"/>
        <item m="1" x="178"/>
        <item x="8"/>
        <item m="1" x="157"/>
        <item x="21"/>
        <item x="85"/>
        <item x="17"/>
        <item x="60"/>
        <item m="1" x="152"/>
        <item x="5"/>
        <item x="100"/>
        <item x="48"/>
        <item m="1" x="151"/>
        <item x="30"/>
        <item x="66"/>
        <item x="113"/>
        <item m="1" x="172"/>
        <item x="29"/>
        <item x="26"/>
        <item x="65"/>
        <item x="49"/>
        <item x="20"/>
        <item x="18"/>
        <item x="94"/>
        <item x="33"/>
        <item x="22"/>
        <item m="1" x="170"/>
        <item x="28"/>
        <item x="50"/>
        <item x="121"/>
        <item x="42"/>
        <item x="16"/>
        <item x="14"/>
        <item x="55"/>
        <item x="69"/>
        <item x="61"/>
        <item m="1" x="161"/>
        <item x="34"/>
        <item x="104"/>
        <item x="0"/>
        <item x="112"/>
        <item m="1" x="165"/>
        <item x="1"/>
        <item x="15"/>
        <item x="62"/>
        <item m="1" x="164"/>
        <item m="1" x="159"/>
        <item x="106"/>
        <item x="39"/>
        <item x="63"/>
        <item x="13"/>
        <item m="1" x="177"/>
        <item m="1" x="145"/>
        <item x="44"/>
        <item x="101"/>
        <item x="103"/>
        <item m="1" x="158"/>
        <item m="1" x="156"/>
        <item m="1" x="155"/>
        <item m="1" x="167"/>
        <item m="1" x="143"/>
        <item x="3"/>
        <item x="109"/>
        <item x="118"/>
        <item m="1" x="174"/>
        <item x="105"/>
        <item x="82"/>
        <item x="125"/>
        <item x="58"/>
        <item x="90"/>
        <item sd="0" x="6"/>
        <item x="51"/>
        <item x="56"/>
        <item x="89"/>
        <item x="83"/>
        <item x="70"/>
        <item x="64"/>
        <item m="1" x="168"/>
        <item x="84"/>
        <item x="87"/>
        <item x="59"/>
        <item x="74"/>
        <item x="24"/>
        <item x="99"/>
        <item x="40"/>
        <item x="73"/>
        <item x="97"/>
        <item x="127"/>
        <item x="129"/>
        <item x="130"/>
        <item x="98"/>
        <item m="1" x="162"/>
        <item m="1" x="141"/>
        <item m="1" x="149"/>
        <item m="1" x="146"/>
        <item m="1" x="148"/>
        <item m="1" x="142"/>
        <item x="128"/>
        <item x="86"/>
        <item x="133"/>
        <item x="126"/>
        <item x="134"/>
        <item x="138"/>
        <item x="140"/>
        <item x="139"/>
        <item x="135"/>
        <item m="1" x="153"/>
        <item x="80"/>
        <item m="1" x="150"/>
        <item x="132"/>
        <item x="136"/>
        <item x="53"/>
        <item x="95"/>
        <item x="119"/>
        <item x="131"/>
        <item x="137"/>
        <item m="1" x="144"/>
        <item x="92"/>
        <item x="93"/>
        <item x="88"/>
        <item x="91"/>
        <item x="78"/>
        <item x="79"/>
        <item t="default"/>
      </items>
    </pivotField>
    <pivotField axis="axisPage" multipleItemSelectionAllowed="1" showAll="0">
      <items count="11">
        <item x="7"/>
        <item x="3"/>
        <item h="1" x="0"/>
        <item x="2"/>
        <item m="1" x="9"/>
        <item x="1"/>
        <item h="1" x="5"/>
        <item h="1" m="1" x="8"/>
        <item h="1" x="6"/>
        <item h="1" x="4"/>
        <item t="default"/>
      </items>
    </pivotField>
    <pivotField dataField="1" showAll="0"/>
    <pivotField axis="axisRow" showAll="0">
      <items count="54">
        <item x="10"/>
        <item x="0"/>
        <item x="9"/>
        <item x="3"/>
        <item x="7"/>
        <item x="6"/>
        <item x="17"/>
        <item x="19"/>
        <item x="15"/>
        <item x="8"/>
        <item x="13"/>
        <item x="14"/>
        <item x="16"/>
        <item x="31"/>
        <item x="26"/>
        <item x="18"/>
        <item x="12"/>
        <item x="29"/>
        <item x="22"/>
        <item x="28"/>
        <item x="30"/>
        <item x="25"/>
        <item x="11"/>
        <item x="24"/>
        <item x="23"/>
        <item x="34"/>
        <item x="40"/>
        <item x="39"/>
        <item x="38"/>
        <item x="27"/>
        <item x="32"/>
        <item x="36"/>
        <item x="37"/>
        <item x="21"/>
        <item x="2"/>
        <item x="43"/>
        <item x="20"/>
        <item x="41"/>
        <item x="51"/>
        <item x="49"/>
        <item x="35"/>
        <item x="45"/>
        <item x="47"/>
        <item m="1" x="52"/>
        <item x="4"/>
        <item x="1"/>
        <item x="5"/>
        <item x="33"/>
        <item x="44"/>
        <item x="42"/>
        <item x="50"/>
        <item x="46"/>
        <item x="4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dataField="1" showAll="0"/>
    <pivotField dataField="1" showAll="0"/>
    <pivotField showAll="0"/>
    <pivotField showAll="0"/>
    <pivotField numFmtId="164" showAll="0"/>
    <pivotField numFmtId="164" showAll="0"/>
    <pivotField numFmtId="164" showAll="0"/>
    <pivotField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s>
  <rowFields count="3">
    <field x="4"/>
    <field x="6"/>
    <field x="9"/>
  </rowFields>
  <rowItems count="31">
    <i>
      <x v="56"/>
    </i>
    <i r="1">
      <x v="114"/>
    </i>
    <i r="2">
      <x v="32"/>
    </i>
    <i>
      <x v="59"/>
    </i>
    <i r="1">
      <x v="45"/>
    </i>
    <i r="2">
      <x v="45"/>
    </i>
    <i r="1">
      <x v="72"/>
    </i>
    <i r="2">
      <x v="37"/>
    </i>
    <i r="1">
      <x v="127"/>
    </i>
    <i r="2">
      <x v="45"/>
    </i>
    <i r="1">
      <x v="137"/>
    </i>
    <i r="2">
      <x v="52"/>
    </i>
    <i>
      <x v="94"/>
    </i>
    <i r="1">
      <x v="135"/>
    </i>
    <i r="2">
      <x v="45"/>
    </i>
    <i>
      <x v="105"/>
    </i>
    <i r="1">
      <x v="66"/>
    </i>
    <i r="2">
      <x v="45"/>
    </i>
    <i>
      <x v="109"/>
    </i>
    <i r="1">
      <x v="141"/>
    </i>
    <i r="2">
      <x v="51"/>
    </i>
    <i>
      <x v="111"/>
    </i>
    <i r="1">
      <x v="8"/>
    </i>
    <i r="2">
      <x v="31"/>
    </i>
    <i>
      <x v="137"/>
    </i>
    <i r="1">
      <x v="140"/>
    </i>
    <i r="2">
      <x v="45"/>
    </i>
    <i>
      <x v="138"/>
    </i>
    <i r="1">
      <x v="183"/>
    </i>
    <i r="2">
      <x v="45"/>
    </i>
    <i t="grand">
      <x/>
    </i>
  </rowItems>
  <colFields count="1">
    <field x="-2"/>
  </colFields>
  <colItems count="5">
    <i>
      <x/>
    </i>
    <i i="1">
      <x v="1"/>
    </i>
    <i i="2">
      <x v="2"/>
    </i>
    <i i="3">
      <x v="3"/>
    </i>
    <i i="4">
      <x v="4"/>
    </i>
  </colItems>
  <pageFields count="2">
    <pageField fld="7" hier="-1"/>
    <pageField fld="2" item="18" hier="-1"/>
  </pageFields>
  <dataFields count="5">
    <dataField name="Sum of Overall Budget" fld="8" baseField="6" baseItem="109" numFmtId="44"/>
    <dataField name="Sum of Engineer's Est" fld="24" baseField="3" baseItem="4" numFmtId="44"/>
    <dataField name="Sum of Bid Amount" fld="25" baseField="6" baseItem="100" numFmtId="44"/>
    <dataField name="Sum of Final Construction Costs" fld="28" baseField="6" baseItem="100" numFmtId="44"/>
    <dataField name="Sum of Anticipated Costs Unincombered" fld="27" baseField="4" baseItem="65" numFmtId="44"/>
  </dataFields>
  <formats count="34">
    <format dxfId="71">
      <pivotArea field="4" type="button" dataOnly="0" labelOnly="1" outline="0" axis="axisRow" fieldPosition="0"/>
    </format>
    <format dxfId="70">
      <pivotArea dataOnly="0" labelOnly="1" fieldPosition="0">
        <references count="1">
          <reference field="4" count="4">
            <x v="55"/>
            <x v="56"/>
            <x v="57"/>
            <x v="59"/>
          </reference>
        </references>
      </pivotArea>
    </format>
    <format dxfId="69">
      <pivotArea dataOnly="0" labelOnly="1" grandRow="1" outline="0" fieldPosition="0"/>
    </format>
    <format dxfId="68">
      <pivotArea dataOnly="0" labelOnly="1" fieldPosition="0">
        <references count="2">
          <reference field="4" count="1" selected="0">
            <x v="55"/>
          </reference>
          <reference field="6" count="1">
            <x v="13"/>
          </reference>
        </references>
      </pivotArea>
    </format>
    <format dxfId="67">
      <pivotArea dataOnly="0" labelOnly="1" fieldPosition="0">
        <references count="2">
          <reference field="4" count="1" selected="0">
            <x v="56"/>
          </reference>
          <reference field="6" count="1">
            <x v="114"/>
          </reference>
        </references>
      </pivotArea>
    </format>
    <format dxfId="66">
      <pivotArea dataOnly="0" labelOnly="1" fieldPosition="0">
        <references count="2">
          <reference field="4" count="1" selected="0">
            <x v="57"/>
          </reference>
          <reference field="6" count="1">
            <x v="131"/>
          </reference>
        </references>
      </pivotArea>
    </format>
    <format dxfId="65">
      <pivotArea dataOnly="0" labelOnly="1" fieldPosition="0">
        <references count="2">
          <reference field="4" count="1" selected="0">
            <x v="59"/>
          </reference>
          <reference field="6" count="13">
            <x v="8"/>
            <x v="13"/>
            <x v="30"/>
            <x v="45"/>
            <x v="50"/>
            <x v="60"/>
            <x v="66"/>
            <x v="72"/>
            <x v="87"/>
            <x v="95"/>
            <x v="127"/>
            <x v="129"/>
            <x v="135"/>
          </reference>
        </references>
      </pivotArea>
    </format>
    <format dxfId="64">
      <pivotArea dataOnly="0" labelOnly="1" fieldPosition="0">
        <references count="3">
          <reference field="4" count="1" selected="0">
            <x v="55"/>
          </reference>
          <reference field="6" count="1" selected="0">
            <x v="13"/>
          </reference>
          <reference field="9" count="1">
            <x v="14"/>
          </reference>
        </references>
      </pivotArea>
    </format>
    <format dxfId="63">
      <pivotArea dataOnly="0" labelOnly="1" fieldPosition="0">
        <references count="3">
          <reference field="4" count="1" selected="0">
            <x v="56"/>
          </reference>
          <reference field="6" count="1" selected="0">
            <x v="114"/>
          </reference>
          <reference field="9" count="1">
            <x v="32"/>
          </reference>
        </references>
      </pivotArea>
    </format>
    <format dxfId="62">
      <pivotArea dataOnly="0" labelOnly="1" fieldPosition="0">
        <references count="3">
          <reference field="4" count="1" selected="0">
            <x v="57"/>
          </reference>
          <reference field="6" count="1" selected="0">
            <x v="131"/>
          </reference>
          <reference field="9" count="1">
            <x v="5"/>
          </reference>
        </references>
      </pivotArea>
    </format>
    <format dxfId="61">
      <pivotArea dataOnly="0" labelOnly="1" fieldPosition="0">
        <references count="3">
          <reference field="4" count="1" selected="0">
            <x v="59"/>
          </reference>
          <reference field="6" count="1" selected="0">
            <x v="8"/>
          </reference>
          <reference field="9" count="1">
            <x v="31"/>
          </reference>
        </references>
      </pivotArea>
    </format>
    <format dxfId="60">
      <pivotArea dataOnly="0" labelOnly="1" fieldPosition="0">
        <references count="3">
          <reference field="4" count="1" selected="0">
            <x v="59"/>
          </reference>
          <reference field="6" count="1" selected="0">
            <x v="13"/>
          </reference>
          <reference field="9" count="1">
            <x v="24"/>
          </reference>
        </references>
      </pivotArea>
    </format>
    <format dxfId="59">
      <pivotArea dataOnly="0" labelOnly="1" fieldPosition="0">
        <references count="3">
          <reference field="4" count="1" selected="0">
            <x v="59"/>
          </reference>
          <reference field="6" count="1" selected="0">
            <x v="30"/>
          </reference>
          <reference field="9" count="1">
            <x v="45"/>
          </reference>
        </references>
      </pivotArea>
    </format>
    <format dxfId="58">
      <pivotArea dataOnly="0" labelOnly="1" fieldPosition="0">
        <references count="3">
          <reference field="4" count="1" selected="0">
            <x v="59"/>
          </reference>
          <reference field="6" count="1" selected="0">
            <x v="45"/>
          </reference>
          <reference field="9" count="1">
            <x v="45"/>
          </reference>
        </references>
      </pivotArea>
    </format>
    <format dxfId="57">
      <pivotArea dataOnly="0" labelOnly="1" fieldPosition="0">
        <references count="3">
          <reference field="4" count="1" selected="0">
            <x v="59"/>
          </reference>
          <reference field="6" count="1" selected="0">
            <x v="50"/>
          </reference>
          <reference field="9" count="1">
            <x v="4"/>
          </reference>
        </references>
      </pivotArea>
    </format>
    <format dxfId="56">
      <pivotArea dataOnly="0" labelOnly="1" fieldPosition="0">
        <references count="3">
          <reference field="4" count="1" selected="0">
            <x v="59"/>
          </reference>
          <reference field="6" count="1" selected="0">
            <x v="60"/>
          </reference>
          <reference field="9" count="1">
            <x v="27"/>
          </reference>
        </references>
      </pivotArea>
    </format>
    <format dxfId="55">
      <pivotArea dataOnly="0" labelOnly="1" fieldPosition="0">
        <references count="3">
          <reference field="4" count="1" selected="0">
            <x v="59"/>
          </reference>
          <reference field="6" count="1" selected="0">
            <x v="66"/>
          </reference>
          <reference field="9" count="1">
            <x v="45"/>
          </reference>
        </references>
      </pivotArea>
    </format>
    <format dxfId="54">
      <pivotArea dataOnly="0" labelOnly="1" fieldPosition="0">
        <references count="3">
          <reference field="4" count="1" selected="0">
            <x v="59"/>
          </reference>
          <reference field="6" count="1" selected="0">
            <x v="72"/>
          </reference>
          <reference field="9" count="1">
            <x v="37"/>
          </reference>
        </references>
      </pivotArea>
    </format>
    <format dxfId="53">
      <pivotArea dataOnly="0" labelOnly="1" fieldPosition="0">
        <references count="3">
          <reference field="4" count="1" selected="0">
            <x v="59"/>
          </reference>
          <reference field="6" count="1" selected="0">
            <x v="87"/>
          </reference>
          <reference field="9" count="1">
            <x v="45"/>
          </reference>
        </references>
      </pivotArea>
    </format>
    <format dxfId="52">
      <pivotArea dataOnly="0" labelOnly="1" fieldPosition="0">
        <references count="3">
          <reference field="4" count="1" selected="0">
            <x v="59"/>
          </reference>
          <reference field="6" count="1" selected="0">
            <x v="95"/>
          </reference>
          <reference field="9" count="1">
            <x v="45"/>
          </reference>
        </references>
      </pivotArea>
    </format>
    <format dxfId="51">
      <pivotArea dataOnly="0" labelOnly="1" fieldPosition="0">
        <references count="3">
          <reference field="4" count="1" selected="0">
            <x v="59"/>
          </reference>
          <reference field="6" count="1" selected="0">
            <x v="127"/>
          </reference>
          <reference field="9" count="1">
            <x v="45"/>
          </reference>
        </references>
      </pivotArea>
    </format>
    <format dxfId="50">
      <pivotArea dataOnly="0" labelOnly="1" fieldPosition="0">
        <references count="3">
          <reference field="4" count="1" selected="0">
            <x v="59"/>
          </reference>
          <reference field="6" count="1" selected="0">
            <x v="129"/>
          </reference>
          <reference field="9" count="1">
            <x v="5"/>
          </reference>
        </references>
      </pivotArea>
    </format>
    <format dxfId="49">
      <pivotArea dataOnly="0" labelOnly="1" fieldPosition="0">
        <references count="3">
          <reference field="4" count="1" selected="0">
            <x v="59"/>
          </reference>
          <reference field="6" count="1" selected="0">
            <x v="135"/>
          </reference>
          <reference field="9" count="1">
            <x v="45"/>
          </reference>
        </references>
      </pivotArea>
    </format>
    <format dxfId="48">
      <pivotArea dataOnly="0" fieldPosition="0">
        <references count="2">
          <reference field="2" count="1" selected="0">
            <x v="18"/>
          </reference>
          <reference field="4" count="1">
            <x v="59"/>
          </reference>
        </references>
      </pivotArea>
    </format>
    <format dxfId="47">
      <pivotArea dataOnly="0" fieldPosition="0">
        <references count="2">
          <reference field="2" count="1" selected="0">
            <x v="18"/>
          </reference>
          <reference field="4" count="1">
            <x v="57"/>
          </reference>
        </references>
      </pivotArea>
    </format>
    <format dxfId="46">
      <pivotArea dataOnly="0" fieldPosition="0">
        <references count="2">
          <reference field="2" count="1" selected="0">
            <x v="18"/>
          </reference>
          <reference field="4" count="1">
            <x v="56"/>
          </reference>
        </references>
      </pivotArea>
    </format>
    <format dxfId="45">
      <pivotArea dataOnly="0" fieldPosition="0">
        <references count="2">
          <reference field="2" count="1" selected="0">
            <x v="18"/>
          </reference>
          <reference field="4" count="1">
            <x v="55"/>
          </reference>
        </references>
      </pivotArea>
    </format>
    <format dxfId="44">
      <pivotArea dataOnly="0" fieldPosition="0">
        <references count="2">
          <reference field="2" count="1" selected="0">
            <x v="18"/>
          </reference>
          <reference field="4" count="1">
            <x v="55"/>
          </reference>
        </references>
      </pivotArea>
    </format>
    <format dxfId="43">
      <pivotArea dataOnly="0" fieldPosition="0">
        <references count="2">
          <reference field="2" count="1" selected="0">
            <x v="18"/>
          </reference>
          <reference field="4" count="1">
            <x v="56"/>
          </reference>
        </references>
      </pivotArea>
    </format>
    <format dxfId="42">
      <pivotArea dataOnly="0" fieldPosition="0">
        <references count="2">
          <reference field="2" count="1" selected="0">
            <x v="18"/>
          </reference>
          <reference field="4" count="1">
            <x v="57"/>
          </reference>
        </references>
      </pivotArea>
    </format>
    <format dxfId="41">
      <pivotArea dataOnly="0" fieldPosition="0">
        <references count="2">
          <reference field="2" count="1" selected="0">
            <x v="18"/>
          </reference>
          <reference field="4" count="1">
            <x v="59"/>
          </reference>
        </references>
      </pivotArea>
    </format>
    <format dxfId="40">
      <pivotArea outline="0" fieldPosition="0">
        <references count="1">
          <reference field="4294967294" count="1">
            <x v="4"/>
          </reference>
        </references>
      </pivotArea>
    </format>
    <format dxfId="39">
      <pivotArea collapsedLevelsAreSubtotals="1" fieldPosition="0">
        <references count="1">
          <reference field="4" count="1">
            <x v="94"/>
          </reference>
        </references>
      </pivotArea>
    </format>
    <format dxfId="38">
      <pivotArea dataOnly="0" labelOnly="1" fieldPosition="0">
        <references count="1">
          <reference field="4" count="1">
            <x v="9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3061865D-777E-42A6-BD5F-B3F4C03965ED}" name="PivotTable2"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4:F48" firstHeaderRow="0" firstDataRow="1" firstDataCol="1" rowPageCount="2" colPageCount="1"/>
  <pivotFields count="42">
    <pivotField showAll="0"/>
    <pivotField showAll="0"/>
    <pivotField axis="axisPage" multipleItemSelectionAllowed="1" showAll="0">
      <items count="28">
        <item h="1" x="2"/>
        <item h="1" x="6"/>
        <item h="1" x="10"/>
        <item h="1" x="13"/>
        <item h="1" x="14"/>
        <item h="1" x="16"/>
        <item h="1" x="17"/>
        <item h="1" x="18"/>
        <item h="1" x="4"/>
        <item h="1" m="1" x="25"/>
        <item h="1" x="15"/>
        <item h="1" x="11"/>
        <item h="1" x="8"/>
        <item x="12"/>
        <item x="0"/>
        <item h="1" x="3"/>
        <item h="1" x="1"/>
        <item h="1" x="7"/>
        <item h="1" x="5"/>
        <item h="1" x="19"/>
        <item h="1" x="20"/>
        <item h="1" x="21"/>
        <item h="1" m="1" x="26"/>
        <item h="1" x="22"/>
        <item h="1" x="23"/>
        <item h="1" x="24"/>
        <item h="1" x="9"/>
        <item t="default"/>
      </items>
    </pivotField>
    <pivotField showAll="0"/>
    <pivotField axis="axisRow" showAll="0">
      <items count="142">
        <item x="31"/>
        <item x="42"/>
        <item x="54"/>
        <item x="19"/>
        <item x="22"/>
        <item x="101"/>
        <item x="44"/>
        <item x="12"/>
        <item x="70"/>
        <item x="13"/>
        <item x="43"/>
        <item x="14"/>
        <item x="6"/>
        <item x="7"/>
        <item x="39"/>
        <item x="79"/>
        <item x="64"/>
        <item x="26"/>
        <item x="21"/>
        <item x="23"/>
        <item x="92"/>
        <item x="85"/>
        <item x="3"/>
        <item x="20"/>
        <item x="83"/>
        <item x="52"/>
        <item x="88"/>
        <item x="9"/>
        <item x="11"/>
        <item x="84"/>
        <item x="24"/>
        <item x="25"/>
        <item x="89"/>
        <item x="27"/>
        <item x="28"/>
        <item x="30"/>
        <item x="18"/>
        <item x="49"/>
        <item x="50"/>
        <item x="48"/>
        <item x="128"/>
        <item x="56"/>
        <item x="90"/>
        <item x="51"/>
        <item x="40"/>
        <item x="41"/>
        <item x="93"/>
        <item x="72"/>
        <item x="71"/>
        <item x="69"/>
        <item x="73"/>
        <item x="74"/>
        <item x="45"/>
        <item x="94"/>
        <item x="76"/>
        <item x="46"/>
        <item x="75"/>
        <item x="15"/>
        <item x="29"/>
        <item x="8"/>
        <item x="53"/>
        <item x="66"/>
        <item x="16"/>
        <item x="0"/>
        <item x="57"/>
        <item x="36"/>
        <item x="59"/>
        <item x="37"/>
        <item x="38"/>
        <item x="60"/>
        <item x="62"/>
        <item x="63"/>
        <item x="78"/>
        <item x="55"/>
        <item x="32"/>
        <item x="129"/>
        <item x="87"/>
        <item x="33"/>
        <item x="34"/>
        <item x="1"/>
        <item x="4"/>
        <item x="35"/>
        <item x="58"/>
        <item x="77"/>
        <item x="97"/>
        <item x="17"/>
        <item x="98"/>
        <item x="2"/>
        <item x="61"/>
        <item x="5"/>
        <item x="127"/>
        <item x="67"/>
        <item x="81"/>
        <item x="80"/>
        <item x="114"/>
        <item x="113"/>
        <item x="100"/>
        <item x="104"/>
        <item x="112"/>
        <item x="131"/>
        <item x="132"/>
        <item x="111"/>
        <item x="130"/>
        <item x="103"/>
        <item x="118"/>
        <item x="119"/>
        <item x="124"/>
        <item x="122"/>
        <item x="117"/>
        <item x="82"/>
        <item x="115"/>
        <item x="68"/>
        <item x="65"/>
        <item x="125"/>
        <item x="126"/>
        <item x="110"/>
        <item x="134"/>
        <item x="133"/>
        <item x="108"/>
        <item x="135"/>
        <item x="136"/>
        <item x="137"/>
        <item x="138"/>
        <item x="86"/>
        <item x="95"/>
        <item x="107"/>
        <item x="91"/>
        <item x="10"/>
        <item x="47"/>
        <item x="102"/>
        <item x="99"/>
        <item x="109"/>
        <item x="116"/>
        <item x="96"/>
        <item m="1" x="140"/>
        <item x="120"/>
        <item x="121"/>
        <item x="123"/>
        <item x="105"/>
        <item x="106"/>
        <item x="139"/>
        <item t="default"/>
      </items>
    </pivotField>
    <pivotField showAll="0"/>
    <pivotField axis="axisRow" showAll="0">
      <items count="185">
        <item x="38"/>
        <item x="124"/>
        <item x="116"/>
        <item x="31"/>
        <item x="68"/>
        <item x="12"/>
        <item x="32"/>
        <item x="54"/>
        <item x="43"/>
        <item x="110"/>
        <item x="75"/>
        <item x="115"/>
        <item x="9"/>
        <item x="27"/>
        <item x="57"/>
        <item x="96"/>
        <item x="2"/>
        <item x="19"/>
        <item m="1" x="183"/>
        <item m="1" x="181"/>
        <item x="76"/>
        <item x="108"/>
        <item x="123"/>
        <item x="25"/>
        <item x="11"/>
        <item x="4"/>
        <item x="37"/>
        <item x="77"/>
        <item x="107"/>
        <item x="23"/>
        <item m="1" x="163"/>
        <item m="1" x="169"/>
        <item m="1" x="180"/>
        <item m="1" x="160"/>
        <item x="35"/>
        <item x="36"/>
        <item m="1" x="147"/>
        <item m="1" x="182"/>
        <item x="72"/>
        <item x="52"/>
        <item x="47"/>
        <item x="111"/>
        <item x="114"/>
        <item x="122"/>
        <item x="71"/>
        <item x="67"/>
        <item x="41"/>
        <item x="117"/>
        <item x="102"/>
        <item m="1" x="166"/>
        <item x="7"/>
        <item x="10"/>
        <item x="45"/>
        <item m="1" x="176"/>
        <item m="1" x="175"/>
        <item x="120"/>
        <item m="1" x="179"/>
        <item m="1" x="173"/>
        <item m="1" x="154"/>
        <item m="1" x="171"/>
        <item x="46"/>
        <item x="81"/>
        <item m="1" x="178"/>
        <item x="8"/>
        <item m="1" x="157"/>
        <item x="21"/>
        <item x="85"/>
        <item x="17"/>
        <item x="60"/>
        <item m="1" x="152"/>
        <item x="5"/>
        <item x="100"/>
        <item x="48"/>
        <item m="1" x="151"/>
        <item x="30"/>
        <item x="66"/>
        <item x="113"/>
        <item m="1" x="172"/>
        <item x="29"/>
        <item x="26"/>
        <item x="65"/>
        <item x="49"/>
        <item x="20"/>
        <item x="18"/>
        <item x="94"/>
        <item x="33"/>
        <item x="22"/>
        <item m="1" x="170"/>
        <item x="28"/>
        <item x="50"/>
        <item x="121"/>
        <item x="42"/>
        <item x="16"/>
        <item x="14"/>
        <item x="55"/>
        <item x="69"/>
        <item x="61"/>
        <item m="1" x="161"/>
        <item x="34"/>
        <item x="104"/>
        <item x="0"/>
        <item x="112"/>
        <item m="1" x="165"/>
        <item x="1"/>
        <item x="15"/>
        <item x="62"/>
        <item m="1" x="164"/>
        <item m="1" x="159"/>
        <item x="106"/>
        <item x="39"/>
        <item x="63"/>
        <item x="13"/>
        <item m="1" x="177"/>
        <item m="1" x="145"/>
        <item x="44"/>
        <item x="101"/>
        <item x="103"/>
        <item m="1" x="158"/>
        <item m="1" x="156"/>
        <item m="1" x="155"/>
        <item m="1" x="167"/>
        <item m="1" x="143"/>
        <item x="3"/>
        <item x="109"/>
        <item x="118"/>
        <item m="1" x="174"/>
        <item x="105"/>
        <item x="82"/>
        <item x="125"/>
        <item x="58"/>
        <item x="90"/>
        <item x="6"/>
        <item x="51"/>
        <item x="56"/>
        <item x="89"/>
        <item x="83"/>
        <item x="70"/>
        <item x="64"/>
        <item m="1" x="168"/>
        <item x="84"/>
        <item x="87"/>
        <item x="59"/>
        <item x="74"/>
        <item x="24"/>
        <item x="99"/>
        <item x="40"/>
        <item x="73"/>
        <item x="97"/>
        <item x="127"/>
        <item x="129"/>
        <item x="130"/>
        <item x="98"/>
        <item m="1" x="162"/>
        <item m="1" x="141"/>
        <item m="1" x="149"/>
        <item m="1" x="146"/>
        <item m="1" x="148"/>
        <item m="1" x="142"/>
        <item x="128"/>
        <item x="86"/>
        <item x="133"/>
        <item x="126"/>
        <item x="134"/>
        <item x="138"/>
        <item x="140"/>
        <item x="139"/>
        <item x="135"/>
        <item m="1" x="153"/>
        <item x="80"/>
        <item m="1" x="150"/>
        <item x="132"/>
        <item x="136"/>
        <item x="53"/>
        <item x="95"/>
        <item x="119"/>
        <item x="131"/>
        <item x="137"/>
        <item m="1" x="144"/>
        <item x="92"/>
        <item x="93"/>
        <item x="88"/>
        <item x="91"/>
        <item x="78"/>
        <item x="79"/>
        <item t="default"/>
      </items>
    </pivotField>
    <pivotField axis="axisPage" multipleItemSelectionAllowed="1" showAll="0">
      <items count="11">
        <item x="7"/>
        <item x="3"/>
        <item h="1" x="0"/>
        <item x="2"/>
        <item m="1" x="9"/>
        <item x="1"/>
        <item h="1" x="5"/>
        <item h="1" m="1" x="8"/>
        <item h="1" x="6"/>
        <item h="1" x="4"/>
        <item t="default"/>
      </items>
    </pivotField>
    <pivotField dataField="1" showAll="0"/>
    <pivotField axis="axisRow" showAll="0">
      <items count="54">
        <item x="10"/>
        <item x="0"/>
        <item x="9"/>
        <item x="3"/>
        <item x="7"/>
        <item x="6"/>
        <item x="17"/>
        <item x="19"/>
        <item x="15"/>
        <item x="8"/>
        <item x="13"/>
        <item x="14"/>
        <item x="16"/>
        <item x="31"/>
        <item x="26"/>
        <item x="18"/>
        <item x="12"/>
        <item x="29"/>
        <item x="22"/>
        <item x="28"/>
        <item x="30"/>
        <item x="25"/>
        <item x="11"/>
        <item x="24"/>
        <item x="23"/>
        <item x="34"/>
        <item x="40"/>
        <item x="39"/>
        <item x="38"/>
        <item x="27"/>
        <item x="32"/>
        <item x="36"/>
        <item x="37"/>
        <item x="21"/>
        <item x="2"/>
        <item x="43"/>
        <item x="20"/>
        <item x="41"/>
        <item x="51"/>
        <item x="49"/>
        <item x="35"/>
        <item x="45"/>
        <item x="47"/>
        <item m="1" x="52"/>
        <item x="4"/>
        <item x="1"/>
        <item x="5"/>
        <item x="33"/>
        <item x="44"/>
        <item x="42"/>
        <item x="50"/>
        <item x="46"/>
        <item x="4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dataField="1" showAll="0"/>
    <pivotField dataField="1" showAll="0"/>
    <pivotField showAll="0"/>
    <pivotField showAll="0"/>
    <pivotField numFmtId="164" showAll="0"/>
    <pivotField numFmtId="164" showAll="0"/>
    <pivotField numFmtId="164" showAll="0"/>
    <pivotField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s>
  <rowFields count="3">
    <field x="4"/>
    <field x="6"/>
    <field x="9"/>
  </rowFields>
  <rowItems count="44">
    <i>
      <x v="61"/>
    </i>
    <i r="1">
      <x v="114"/>
    </i>
    <i r="2">
      <x v="32"/>
    </i>
    <i>
      <x v="63"/>
    </i>
    <i r="1">
      <x v="68"/>
    </i>
    <i r="2">
      <x v="42"/>
    </i>
    <i r="1">
      <x v="132"/>
    </i>
    <i r="2">
      <x v="45"/>
    </i>
    <i r="1">
      <x v="159"/>
    </i>
    <i r="2">
      <x v="45"/>
    </i>
    <i>
      <x v="69"/>
    </i>
    <i r="1">
      <x v="26"/>
    </i>
    <i r="2">
      <x v="45"/>
    </i>
    <i>
      <x v="70"/>
    </i>
    <i r="1">
      <x v="145"/>
    </i>
    <i r="2">
      <x v="45"/>
    </i>
    <i>
      <x v="71"/>
    </i>
    <i r="1">
      <x v="46"/>
    </i>
    <i r="2">
      <x v="45"/>
    </i>
    <i>
      <x v="72"/>
    </i>
    <i r="1">
      <x v="132"/>
    </i>
    <i r="2">
      <x v="45"/>
    </i>
    <i>
      <x v="95"/>
    </i>
    <i r="1">
      <x v="135"/>
    </i>
    <i r="2">
      <x v="45"/>
    </i>
    <i>
      <x v="103"/>
    </i>
    <i r="1">
      <x v="182"/>
    </i>
    <i r="2">
      <x v="45"/>
    </i>
    <i>
      <x v="108"/>
    </i>
    <i r="1">
      <x v="66"/>
    </i>
    <i r="2">
      <x v="45"/>
    </i>
    <i>
      <x v="110"/>
    </i>
    <i r="1">
      <x v="139"/>
    </i>
    <i r="2">
      <x v="45"/>
    </i>
    <i>
      <x v="112"/>
    </i>
    <i r="1">
      <x v="8"/>
    </i>
    <i r="2">
      <x v="31"/>
    </i>
    <i>
      <x v="136"/>
    </i>
    <i r="1">
      <x v="140"/>
    </i>
    <i r="2">
      <x v="45"/>
    </i>
    <i>
      <x v="139"/>
    </i>
    <i r="1">
      <x v="183"/>
    </i>
    <i r="2">
      <x v="45"/>
    </i>
    <i t="grand">
      <x/>
    </i>
  </rowItems>
  <colFields count="1">
    <field x="-2"/>
  </colFields>
  <colItems count="5">
    <i>
      <x/>
    </i>
    <i i="1">
      <x v="1"/>
    </i>
    <i i="2">
      <x v="2"/>
    </i>
    <i i="3">
      <x v="3"/>
    </i>
    <i i="4">
      <x v="4"/>
    </i>
  </colItems>
  <pageFields count="2">
    <pageField fld="7" hier="-1"/>
    <pageField fld="2" hier="-1"/>
  </pageFields>
  <dataFields count="5">
    <dataField name="Sum of Overall Budget" fld="8" baseField="6" baseItem="109" numFmtId="44"/>
    <dataField name="Sum of Engineer's Est" fld="24" baseField="3" baseItem="4" numFmtId="44"/>
    <dataField name="Sum of Bid Amount" fld="25" baseField="6" baseItem="100" numFmtId="44"/>
    <dataField name="Sum of Final Construction Costs" fld="28" baseField="6" baseItem="100" numFmtId="44"/>
    <dataField name="Sum of Anticipated Costs Unincombered" fld="27" baseField="4" baseItem="71"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F69096B1-99E4-4F85-BC3A-986C8CFB681B}" name="PivotTable2"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4:E11" firstHeaderRow="0" firstDataRow="1" firstDataCol="1" rowPageCount="2" colPageCount="1"/>
  <pivotFields count="42">
    <pivotField showAll="0"/>
    <pivotField showAll="0"/>
    <pivotField axis="axisPage" multipleItemSelectionAllowed="1" showAll="0">
      <items count="28">
        <item h="1" x="2"/>
        <item h="1" x="6"/>
        <item h="1" x="10"/>
        <item h="1" x="13"/>
        <item h="1" x="14"/>
        <item h="1" x="16"/>
        <item h="1" x="17"/>
        <item h="1" x="18"/>
        <item x="4"/>
        <item h="1" m="1" x="25"/>
        <item h="1" x="15"/>
        <item h="1" x="11"/>
        <item h="1" x="8"/>
        <item h="1" x="12"/>
        <item h="1" x="0"/>
        <item h="1" x="3"/>
        <item h="1" x="1"/>
        <item h="1" x="7"/>
        <item h="1" x="5"/>
        <item h="1" x="19"/>
        <item h="1" x="20"/>
        <item h="1" x="21"/>
        <item h="1" m="1" x="26"/>
        <item h="1" x="22"/>
        <item h="1" x="23"/>
        <item h="1" x="24"/>
        <item h="1" x="9"/>
        <item t="default"/>
      </items>
    </pivotField>
    <pivotField showAll="0"/>
    <pivotField axis="axisRow" showAll="0">
      <items count="142">
        <item x="31"/>
        <item x="42"/>
        <item x="54"/>
        <item x="19"/>
        <item x="22"/>
        <item x="101"/>
        <item x="44"/>
        <item x="12"/>
        <item x="70"/>
        <item x="13"/>
        <item x="43"/>
        <item x="14"/>
        <item x="6"/>
        <item x="7"/>
        <item x="39"/>
        <item x="79"/>
        <item x="64"/>
        <item x="26"/>
        <item x="21"/>
        <item x="23"/>
        <item x="92"/>
        <item x="85"/>
        <item x="3"/>
        <item x="20"/>
        <item x="83"/>
        <item x="52"/>
        <item x="88"/>
        <item x="9"/>
        <item x="11"/>
        <item x="84"/>
        <item x="24"/>
        <item x="25"/>
        <item x="89"/>
        <item x="27"/>
        <item x="28"/>
        <item x="30"/>
        <item x="18"/>
        <item x="49"/>
        <item x="50"/>
        <item x="48"/>
        <item x="128"/>
        <item x="56"/>
        <item x="90"/>
        <item x="51"/>
        <item x="40"/>
        <item x="41"/>
        <item x="93"/>
        <item x="72"/>
        <item x="71"/>
        <item x="69"/>
        <item x="73"/>
        <item x="74"/>
        <item x="45"/>
        <item x="94"/>
        <item x="76"/>
        <item x="46"/>
        <item x="75"/>
        <item x="15"/>
        <item x="29"/>
        <item x="8"/>
        <item x="53"/>
        <item x="66"/>
        <item x="16"/>
        <item x="0"/>
        <item x="57"/>
        <item x="36"/>
        <item x="59"/>
        <item x="37"/>
        <item x="38"/>
        <item x="60"/>
        <item x="62"/>
        <item x="63"/>
        <item x="78"/>
        <item x="55"/>
        <item x="32"/>
        <item x="129"/>
        <item x="87"/>
        <item x="33"/>
        <item x="34"/>
        <item x="1"/>
        <item x="4"/>
        <item x="35"/>
        <item x="58"/>
        <item x="77"/>
        <item x="97"/>
        <item x="17"/>
        <item x="98"/>
        <item x="2"/>
        <item x="61"/>
        <item x="5"/>
        <item x="127"/>
        <item x="67"/>
        <item x="81"/>
        <item x="80"/>
        <item x="114"/>
        <item x="113"/>
        <item x="100"/>
        <item x="104"/>
        <item x="112"/>
        <item x="131"/>
        <item x="132"/>
        <item x="111"/>
        <item x="130"/>
        <item x="103"/>
        <item x="118"/>
        <item x="119"/>
        <item x="124"/>
        <item x="122"/>
        <item x="117"/>
        <item x="82"/>
        <item x="115"/>
        <item x="68"/>
        <item x="65"/>
        <item x="125"/>
        <item x="126"/>
        <item x="110"/>
        <item x="134"/>
        <item x="133"/>
        <item x="108"/>
        <item x="135"/>
        <item x="136"/>
        <item x="137"/>
        <item x="138"/>
        <item x="86"/>
        <item x="95"/>
        <item x="107"/>
        <item x="91"/>
        <item x="10"/>
        <item x="47"/>
        <item x="102"/>
        <item x="99"/>
        <item x="109"/>
        <item x="116"/>
        <item x="96"/>
        <item m="1" x="140"/>
        <item x="120"/>
        <item x="121"/>
        <item x="123"/>
        <item x="105"/>
        <item x="106"/>
        <item x="139"/>
        <item t="default"/>
      </items>
    </pivotField>
    <pivotField showAll="0"/>
    <pivotField axis="axisRow" showAll="0">
      <items count="185">
        <item x="38"/>
        <item x="124"/>
        <item x="116"/>
        <item x="31"/>
        <item x="68"/>
        <item x="12"/>
        <item x="32"/>
        <item x="54"/>
        <item x="43"/>
        <item x="110"/>
        <item x="75"/>
        <item x="115"/>
        <item x="9"/>
        <item x="27"/>
        <item x="57"/>
        <item x="96"/>
        <item x="2"/>
        <item x="19"/>
        <item m="1" x="183"/>
        <item m="1" x="181"/>
        <item x="76"/>
        <item x="108"/>
        <item x="123"/>
        <item x="25"/>
        <item x="11"/>
        <item x="4"/>
        <item x="37"/>
        <item x="77"/>
        <item x="107"/>
        <item x="23"/>
        <item m="1" x="163"/>
        <item m="1" x="169"/>
        <item m="1" x="180"/>
        <item m="1" x="160"/>
        <item x="35"/>
        <item x="36"/>
        <item m="1" x="147"/>
        <item m="1" x="182"/>
        <item x="72"/>
        <item x="52"/>
        <item x="47"/>
        <item x="111"/>
        <item x="114"/>
        <item x="122"/>
        <item x="71"/>
        <item x="67"/>
        <item x="41"/>
        <item x="117"/>
        <item x="102"/>
        <item m="1" x="166"/>
        <item x="7"/>
        <item x="10"/>
        <item x="45"/>
        <item m="1" x="176"/>
        <item m="1" x="175"/>
        <item x="120"/>
        <item m="1" x="179"/>
        <item m="1" x="173"/>
        <item m="1" x="154"/>
        <item m="1" x="171"/>
        <item x="46"/>
        <item x="81"/>
        <item m="1" x="178"/>
        <item x="8"/>
        <item m="1" x="157"/>
        <item x="21"/>
        <item x="85"/>
        <item x="17"/>
        <item x="60"/>
        <item m="1" x="152"/>
        <item x="5"/>
        <item x="100"/>
        <item x="48"/>
        <item m="1" x="151"/>
        <item x="30"/>
        <item x="66"/>
        <item x="113"/>
        <item m="1" x="172"/>
        <item x="29"/>
        <item x="26"/>
        <item x="65"/>
        <item x="49"/>
        <item x="20"/>
        <item x="18"/>
        <item x="94"/>
        <item x="33"/>
        <item x="22"/>
        <item m="1" x="170"/>
        <item x="28"/>
        <item x="50"/>
        <item x="121"/>
        <item x="42"/>
        <item x="16"/>
        <item x="14"/>
        <item x="55"/>
        <item x="69"/>
        <item x="61"/>
        <item m="1" x="161"/>
        <item x="34"/>
        <item x="104"/>
        <item x="0"/>
        <item x="112"/>
        <item m="1" x="165"/>
        <item x="1"/>
        <item x="15"/>
        <item x="62"/>
        <item m="1" x="164"/>
        <item m="1" x="159"/>
        <item x="106"/>
        <item x="39"/>
        <item x="63"/>
        <item x="13"/>
        <item m="1" x="177"/>
        <item m="1" x="145"/>
        <item x="44"/>
        <item x="101"/>
        <item x="103"/>
        <item m="1" x="158"/>
        <item m="1" x="156"/>
        <item m="1" x="155"/>
        <item m="1" x="167"/>
        <item m="1" x="143"/>
        <item x="3"/>
        <item x="109"/>
        <item x="118"/>
        <item m="1" x="174"/>
        <item x="105"/>
        <item x="82"/>
        <item x="125"/>
        <item x="58"/>
        <item x="90"/>
        <item x="6"/>
        <item x="51"/>
        <item x="56"/>
        <item x="89"/>
        <item x="83"/>
        <item x="70"/>
        <item x="64"/>
        <item m="1" x="168"/>
        <item x="84"/>
        <item x="87"/>
        <item x="59"/>
        <item x="74"/>
        <item x="24"/>
        <item x="99"/>
        <item x="40"/>
        <item x="73"/>
        <item x="97"/>
        <item x="127"/>
        <item x="129"/>
        <item x="130"/>
        <item x="98"/>
        <item m="1" x="162"/>
        <item m="1" x="141"/>
        <item m="1" x="149"/>
        <item m="1" x="146"/>
        <item m="1" x="148"/>
        <item m="1" x="142"/>
        <item x="128"/>
        <item x="86"/>
        <item x="133"/>
        <item x="126"/>
        <item x="134"/>
        <item x="138"/>
        <item x="140"/>
        <item x="139"/>
        <item x="135"/>
        <item m="1" x="153"/>
        <item x="80"/>
        <item m="1" x="150"/>
        <item x="132"/>
        <item x="136"/>
        <item x="53"/>
        <item x="95"/>
        <item x="119"/>
        <item x="131"/>
        <item x="137"/>
        <item m="1" x="144"/>
        <item x="92"/>
        <item x="93"/>
        <item x="88"/>
        <item x="91"/>
        <item x="78"/>
        <item x="79"/>
        <item t="default"/>
      </items>
    </pivotField>
    <pivotField axis="axisPage" multipleItemSelectionAllowed="1" showAll="0">
      <items count="11">
        <item x="7"/>
        <item x="3"/>
        <item h="1" x="0"/>
        <item x="2"/>
        <item m="1" x="9"/>
        <item x="1"/>
        <item h="1" x="5"/>
        <item h="1" m="1" x="8"/>
        <item h="1" x="6"/>
        <item h="1" x="4"/>
        <item t="default"/>
      </items>
    </pivotField>
    <pivotField dataField="1" showAll="0"/>
    <pivotField axis="axisRow" showAll="0">
      <items count="54">
        <item x="10"/>
        <item x="0"/>
        <item x="9"/>
        <item x="3"/>
        <item x="7"/>
        <item x="6"/>
        <item x="17"/>
        <item x="19"/>
        <item x="15"/>
        <item x="8"/>
        <item x="13"/>
        <item x="14"/>
        <item x="16"/>
        <item x="31"/>
        <item x="26"/>
        <item x="18"/>
        <item x="12"/>
        <item x="29"/>
        <item x="22"/>
        <item x="28"/>
        <item x="30"/>
        <item x="25"/>
        <item x="11"/>
        <item x="24"/>
        <item x="23"/>
        <item x="34"/>
        <item x="40"/>
        <item x="39"/>
        <item x="38"/>
        <item x="27"/>
        <item x="32"/>
        <item x="36"/>
        <item x="37"/>
        <item x="21"/>
        <item x="2"/>
        <item x="43"/>
        <item x="20"/>
        <item x="41"/>
        <item x="51"/>
        <item x="49"/>
        <item x="35"/>
        <item x="45"/>
        <item x="47"/>
        <item m="1" x="52"/>
        <item x="4"/>
        <item x="1"/>
        <item x="5"/>
        <item x="33"/>
        <item x="44"/>
        <item x="42"/>
        <item x="50"/>
        <item x="46"/>
        <item x="4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dataField="1" showAll="0"/>
    <pivotField showAll="0"/>
    <pivotField showAll="0"/>
    <pivotField numFmtId="164" showAll="0"/>
    <pivotField numFmtId="164" showAll="0"/>
    <pivotField numFmtId="164" showAll="0"/>
    <pivotField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s>
  <rowFields count="3">
    <field x="4"/>
    <field x="6"/>
    <field x="9"/>
  </rowFields>
  <rowItems count="7">
    <i>
      <x v="16"/>
    </i>
    <i r="1">
      <x v="91"/>
    </i>
    <i r="2">
      <x v="40"/>
    </i>
    <i>
      <x v="133"/>
    </i>
    <i r="1">
      <x v="136"/>
    </i>
    <i r="2">
      <x v="50"/>
    </i>
    <i t="grand">
      <x/>
    </i>
  </rowItems>
  <colFields count="1">
    <field x="-2"/>
  </colFields>
  <colItems count="4">
    <i>
      <x/>
    </i>
    <i i="1">
      <x v="1"/>
    </i>
    <i i="2">
      <x v="2"/>
    </i>
    <i i="3">
      <x v="3"/>
    </i>
  </colItems>
  <pageFields count="2">
    <pageField fld="7" hier="-1"/>
    <pageField fld="2" hier="-1"/>
  </pageFields>
  <dataFields count="4">
    <dataField name="Sum of Overall Budget" fld="8" baseField="6" baseItem="109" numFmtId="44"/>
    <dataField name="Sum of Engineer's Est" fld="24" baseField="3" baseItem="4" numFmtId="44"/>
    <dataField name="Sum of Bid Amount" fld="25" baseField="6" baseItem="100" numFmtId="44"/>
    <dataField name="Sum of Final Construction Costs" fld="28" baseField="6" baseItem="10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5AB471A5-CE7E-44FF-8522-280F7B992264}" name="PivotTable2"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4:F52" firstHeaderRow="0" firstDataRow="1" firstDataCol="1" rowPageCount="2" colPageCount="1"/>
  <pivotFields count="42">
    <pivotField showAll="0"/>
    <pivotField showAll="0"/>
    <pivotField axis="axisPage" multipleItemSelectionAllowed="1" showAll="0">
      <items count="28">
        <item h="1" x="2"/>
        <item h="1" x="6"/>
        <item h="1" x="10"/>
        <item h="1" x="13"/>
        <item h="1" x="14"/>
        <item h="1" x="16"/>
        <item h="1" x="17"/>
        <item h="1" x="18"/>
        <item h="1" x="4"/>
        <item h="1" m="1" x="25"/>
        <item h="1" x="15"/>
        <item h="1" x="11"/>
        <item h="1" x="8"/>
        <item h="1" x="12"/>
        <item h="1" x="0"/>
        <item x="3"/>
        <item x="1"/>
        <item h="1" x="7"/>
        <item h="1" x="5"/>
        <item h="1" x="19"/>
        <item h="1" x="20"/>
        <item h="1" x="21"/>
        <item h="1" m="1" x="26"/>
        <item h="1" x="22"/>
        <item h="1" x="23"/>
        <item h="1" x="24"/>
        <item h="1" x="9"/>
        <item t="default"/>
      </items>
    </pivotField>
    <pivotField showAll="0"/>
    <pivotField axis="axisRow" showAll="0">
      <items count="142">
        <item x="31"/>
        <item x="42"/>
        <item x="54"/>
        <item x="19"/>
        <item x="22"/>
        <item x="101"/>
        <item x="44"/>
        <item x="12"/>
        <item x="70"/>
        <item x="13"/>
        <item x="43"/>
        <item x="14"/>
        <item x="6"/>
        <item x="7"/>
        <item x="39"/>
        <item x="79"/>
        <item x="64"/>
        <item x="26"/>
        <item x="21"/>
        <item x="23"/>
        <item x="92"/>
        <item x="85"/>
        <item x="3"/>
        <item x="20"/>
        <item x="83"/>
        <item x="52"/>
        <item x="88"/>
        <item x="9"/>
        <item x="11"/>
        <item x="84"/>
        <item x="24"/>
        <item x="25"/>
        <item x="89"/>
        <item x="27"/>
        <item x="28"/>
        <item x="30"/>
        <item x="18"/>
        <item x="49"/>
        <item x="50"/>
        <item x="48"/>
        <item x="128"/>
        <item x="56"/>
        <item x="90"/>
        <item x="51"/>
        <item x="40"/>
        <item x="41"/>
        <item x="93"/>
        <item x="72"/>
        <item x="71"/>
        <item x="69"/>
        <item x="73"/>
        <item x="74"/>
        <item x="45"/>
        <item x="94"/>
        <item x="76"/>
        <item x="46"/>
        <item x="75"/>
        <item x="15"/>
        <item x="29"/>
        <item x="8"/>
        <item x="53"/>
        <item x="66"/>
        <item x="16"/>
        <item x="0"/>
        <item x="57"/>
        <item x="36"/>
        <item x="59"/>
        <item x="37"/>
        <item x="38"/>
        <item x="60"/>
        <item x="62"/>
        <item x="63"/>
        <item x="78"/>
        <item x="55"/>
        <item x="32"/>
        <item x="129"/>
        <item x="87"/>
        <item x="33"/>
        <item x="34"/>
        <item x="1"/>
        <item x="4"/>
        <item x="35"/>
        <item x="58"/>
        <item x="77"/>
        <item x="97"/>
        <item x="17"/>
        <item x="98"/>
        <item x="2"/>
        <item x="61"/>
        <item x="5"/>
        <item x="127"/>
        <item x="67"/>
        <item x="81"/>
        <item x="80"/>
        <item x="114"/>
        <item x="113"/>
        <item x="100"/>
        <item x="104"/>
        <item x="112"/>
        <item x="131"/>
        <item x="132"/>
        <item x="111"/>
        <item x="130"/>
        <item x="103"/>
        <item x="118"/>
        <item x="119"/>
        <item x="124"/>
        <item x="122"/>
        <item x="117"/>
        <item x="82"/>
        <item x="115"/>
        <item x="68"/>
        <item x="65"/>
        <item x="125"/>
        <item x="126"/>
        <item x="110"/>
        <item x="134"/>
        <item x="133"/>
        <item x="108"/>
        <item x="135"/>
        <item x="136"/>
        <item x="137"/>
        <item x="138"/>
        <item x="86"/>
        <item x="95"/>
        <item x="107"/>
        <item x="91"/>
        <item x="10"/>
        <item x="47"/>
        <item x="102"/>
        <item x="99"/>
        <item x="109"/>
        <item x="116"/>
        <item x="96"/>
        <item m="1" x="140"/>
        <item x="120"/>
        <item x="121"/>
        <item x="123"/>
        <item x="105"/>
        <item x="106"/>
        <item x="139"/>
        <item t="default"/>
      </items>
    </pivotField>
    <pivotField showAll="0"/>
    <pivotField axis="axisRow" showAll="0">
      <items count="185">
        <item x="38"/>
        <item x="124"/>
        <item x="116"/>
        <item x="31"/>
        <item x="68"/>
        <item x="12"/>
        <item x="32"/>
        <item x="54"/>
        <item x="43"/>
        <item x="110"/>
        <item x="75"/>
        <item x="115"/>
        <item x="9"/>
        <item x="27"/>
        <item x="57"/>
        <item x="96"/>
        <item x="2"/>
        <item x="19"/>
        <item m="1" x="183"/>
        <item m="1" x="181"/>
        <item x="76"/>
        <item x="108"/>
        <item x="123"/>
        <item x="25"/>
        <item x="11"/>
        <item x="4"/>
        <item x="37"/>
        <item x="77"/>
        <item x="107"/>
        <item x="23"/>
        <item m="1" x="163"/>
        <item m="1" x="169"/>
        <item m="1" x="180"/>
        <item m="1" x="160"/>
        <item x="35"/>
        <item x="36"/>
        <item m="1" x="147"/>
        <item m="1" x="182"/>
        <item x="72"/>
        <item x="52"/>
        <item x="47"/>
        <item x="111"/>
        <item x="114"/>
        <item x="122"/>
        <item x="71"/>
        <item x="67"/>
        <item x="41"/>
        <item x="117"/>
        <item x="102"/>
        <item m="1" x="166"/>
        <item x="7"/>
        <item x="10"/>
        <item x="45"/>
        <item m="1" x="176"/>
        <item m="1" x="175"/>
        <item x="120"/>
        <item m="1" x="179"/>
        <item m="1" x="173"/>
        <item m="1" x="154"/>
        <item m="1" x="171"/>
        <item x="46"/>
        <item x="81"/>
        <item m="1" x="178"/>
        <item x="8"/>
        <item m="1" x="157"/>
        <item x="21"/>
        <item x="85"/>
        <item x="17"/>
        <item x="60"/>
        <item m="1" x="152"/>
        <item x="5"/>
        <item x="100"/>
        <item x="48"/>
        <item m="1" x="151"/>
        <item x="30"/>
        <item x="66"/>
        <item x="113"/>
        <item m="1" x="172"/>
        <item x="29"/>
        <item x="26"/>
        <item x="65"/>
        <item x="49"/>
        <item x="20"/>
        <item x="18"/>
        <item x="94"/>
        <item x="33"/>
        <item x="22"/>
        <item m="1" x="170"/>
        <item x="28"/>
        <item x="50"/>
        <item x="121"/>
        <item x="42"/>
        <item x="16"/>
        <item x="14"/>
        <item x="55"/>
        <item x="69"/>
        <item x="61"/>
        <item m="1" x="161"/>
        <item x="34"/>
        <item x="104"/>
        <item x="0"/>
        <item x="112"/>
        <item m="1" x="165"/>
        <item x="1"/>
        <item x="15"/>
        <item x="62"/>
        <item m="1" x="164"/>
        <item m="1" x="159"/>
        <item x="106"/>
        <item x="39"/>
        <item x="63"/>
        <item x="13"/>
        <item m="1" x="177"/>
        <item m="1" x="145"/>
        <item x="44"/>
        <item x="101"/>
        <item x="103"/>
        <item m="1" x="158"/>
        <item m="1" x="156"/>
        <item m="1" x="155"/>
        <item m="1" x="167"/>
        <item m="1" x="143"/>
        <item x="3"/>
        <item x="109"/>
        <item x="118"/>
        <item m="1" x="174"/>
        <item x="105"/>
        <item x="82"/>
        <item x="125"/>
        <item x="58"/>
        <item x="90"/>
        <item x="6"/>
        <item x="51"/>
        <item x="56"/>
        <item x="89"/>
        <item x="83"/>
        <item x="70"/>
        <item x="64"/>
        <item m="1" x="168"/>
        <item x="84"/>
        <item x="87"/>
        <item x="59"/>
        <item x="74"/>
        <item x="24"/>
        <item x="99"/>
        <item x="40"/>
        <item x="73"/>
        <item x="97"/>
        <item x="127"/>
        <item x="129"/>
        <item x="130"/>
        <item x="98"/>
        <item m="1" x="162"/>
        <item m="1" x="141"/>
        <item m="1" x="149"/>
        <item m="1" x="146"/>
        <item m="1" x="148"/>
        <item m="1" x="142"/>
        <item x="128"/>
        <item x="86"/>
        <item x="133"/>
        <item x="126"/>
        <item x="134"/>
        <item x="138"/>
        <item x="140"/>
        <item x="139"/>
        <item x="135"/>
        <item m="1" x="153"/>
        <item x="80"/>
        <item m="1" x="150"/>
        <item x="132"/>
        <item x="136"/>
        <item x="53"/>
        <item x="95"/>
        <item x="119"/>
        <item x="131"/>
        <item x="137"/>
        <item m="1" x="144"/>
        <item x="92"/>
        <item x="93"/>
        <item x="88"/>
        <item x="91"/>
        <item x="78"/>
        <item x="79"/>
        <item t="default"/>
      </items>
    </pivotField>
    <pivotField axis="axisPage" multipleItemSelectionAllowed="1" showAll="0">
      <items count="11">
        <item x="7"/>
        <item x="3"/>
        <item h="1" x="0"/>
        <item x="2"/>
        <item m="1" x="9"/>
        <item x="1"/>
        <item h="1" x="5"/>
        <item h="1" m="1" x="8"/>
        <item h="1" x="6"/>
        <item h="1" x="4"/>
        <item t="default"/>
      </items>
    </pivotField>
    <pivotField dataField="1" showAll="0"/>
    <pivotField axis="axisRow" showAll="0">
      <items count="54">
        <item x="10"/>
        <item x="0"/>
        <item x="9"/>
        <item x="3"/>
        <item x="7"/>
        <item x="6"/>
        <item x="17"/>
        <item x="19"/>
        <item x="15"/>
        <item x="8"/>
        <item x="13"/>
        <item x="14"/>
        <item x="16"/>
        <item x="31"/>
        <item x="26"/>
        <item x="18"/>
        <item x="12"/>
        <item x="29"/>
        <item x="22"/>
        <item x="28"/>
        <item x="30"/>
        <item x="25"/>
        <item x="11"/>
        <item x="24"/>
        <item x="23"/>
        <item x="34"/>
        <item x="40"/>
        <item x="39"/>
        <item x="38"/>
        <item x="27"/>
        <item x="32"/>
        <item x="36"/>
        <item x="37"/>
        <item x="21"/>
        <item x="2"/>
        <item x="43"/>
        <item x="20"/>
        <item x="41"/>
        <item x="51"/>
        <item x="49"/>
        <item x="35"/>
        <item x="45"/>
        <item x="47"/>
        <item m="1" x="52"/>
        <item x="4"/>
        <item x="1"/>
        <item x="5"/>
        <item x="33"/>
        <item x="44"/>
        <item x="42"/>
        <item x="50"/>
        <item x="46"/>
        <item x="4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dataField="1" showAll="0"/>
    <pivotField dataField="1" showAll="0"/>
    <pivotField showAll="0"/>
    <pivotField showAll="0"/>
    <pivotField numFmtId="164" showAll="0"/>
    <pivotField numFmtId="164" showAll="0"/>
    <pivotField numFmtId="164" showAll="0"/>
    <pivotField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s>
  <rowFields count="3">
    <field x="4"/>
    <field x="6"/>
    <field x="9"/>
  </rowFields>
  <rowItems count="48">
    <i>
      <x v="74"/>
    </i>
    <i r="1">
      <x v="180"/>
    </i>
    <i r="2">
      <x v="45"/>
    </i>
    <i>
      <x v="76"/>
    </i>
    <i r="1">
      <x v="105"/>
    </i>
    <i r="2">
      <x v="45"/>
    </i>
    <i>
      <x v="78"/>
    </i>
    <i r="1">
      <x v="86"/>
    </i>
    <i r="2">
      <x v="36"/>
    </i>
    <i>
      <x v="79"/>
    </i>
    <i r="1">
      <x v="103"/>
    </i>
    <i r="2">
      <x v="45"/>
    </i>
    <i>
      <x v="80"/>
    </i>
    <i r="1">
      <x v="70"/>
    </i>
    <i r="2">
      <x v="46"/>
    </i>
    <i>
      <x v="82"/>
    </i>
    <i r="1">
      <x v="35"/>
    </i>
    <i r="2">
      <x v="45"/>
    </i>
    <i>
      <x v="83"/>
    </i>
    <i r="1">
      <x v="172"/>
    </i>
    <i r="2">
      <x v="45"/>
    </i>
    <i>
      <x v="84"/>
    </i>
    <i r="1">
      <x v="38"/>
    </i>
    <i r="2">
      <x v="45"/>
    </i>
    <i>
      <x v="88"/>
    </i>
    <i r="1">
      <x/>
    </i>
    <i r="2">
      <x v="47"/>
    </i>
    <i r="1">
      <x v="10"/>
    </i>
    <i r="2">
      <x v="45"/>
    </i>
    <i>
      <x v="89"/>
    </i>
    <i r="1">
      <x v="70"/>
    </i>
    <i r="2">
      <x v="46"/>
    </i>
    <i>
      <x v="92"/>
    </i>
    <i r="1">
      <x v="133"/>
    </i>
    <i r="2">
      <x v="45"/>
    </i>
    <i>
      <x v="93"/>
    </i>
    <i r="1">
      <x v="94"/>
    </i>
    <i r="2">
      <x v="45"/>
    </i>
    <i>
      <x v="106"/>
    </i>
    <i r="1">
      <x v="134"/>
    </i>
    <i r="2">
      <x v="45"/>
    </i>
    <i>
      <x v="132"/>
    </i>
    <i r="1">
      <x v="66"/>
    </i>
    <i r="2">
      <x v="45"/>
    </i>
    <i>
      <x v="135"/>
    </i>
    <i r="1">
      <x v="140"/>
    </i>
    <i r="2">
      <x v="45"/>
    </i>
    <i t="grand">
      <x/>
    </i>
  </rowItems>
  <colFields count="1">
    <field x="-2"/>
  </colFields>
  <colItems count="5">
    <i>
      <x/>
    </i>
    <i i="1">
      <x v="1"/>
    </i>
    <i i="2">
      <x v="2"/>
    </i>
    <i i="3">
      <x v="3"/>
    </i>
    <i i="4">
      <x v="4"/>
    </i>
  </colItems>
  <pageFields count="2">
    <pageField fld="7" hier="-1"/>
    <pageField fld="2" hier="-1"/>
  </pageFields>
  <dataFields count="5">
    <dataField name="Sum of Overall Budget" fld="8" baseField="6" baseItem="109" numFmtId="44"/>
    <dataField name="Sum of Engineer's Est" fld="24" baseField="3" baseItem="4" numFmtId="44"/>
    <dataField name="Sum of Bid Amount" fld="25" baseField="6" baseItem="100" numFmtId="44"/>
    <dataField name="Sum of Final Construction Costs" fld="28" baseField="4" baseItem="88" numFmtId="44"/>
    <dataField name="Sum of Anticipated Costs Unincombered" fld="27" baseField="4" baseItem="88"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B1932963-8080-443F-9056-2FCEDFBF8BDA}" name="PivotTable2"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4:E71" firstHeaderRow="0" firstDataRow="1" firstDataCol="1" rowPageCount="2" colPageCount="1"/>
  <pivotFields count="42">
    <pivotField showAll="0"/>
    <pivotField showAll="0"/>
    <pivotField axis="axisPage" multipleItemSelectionAllowed="1" showAll="0">
      <items count="28">
        <item x="2"/>
        <item x="6"/>
        <item x="10"/>
        <item x="13"/>
        <item x="14"/>
        <item x="16"/>
        <item x="17"/>
        <item x="18"/>
        <item h="1" x="4"/>
        <item h="1" m="1" x="25"/>
        <item h="1" x="15"/>
        <item h="1" x="11"/>
        <item x="8"/>
        <item h="1" x="12"/>
        <item h="1" x="0"/>
        <item h="1" x="3"/>
        <item h="1" x="1"/>
        <item x="7"/>
        <item h="1" x="5"/>
        <item h="1" x="19"/>
        <item h="1" x="20"/>
        <item h="1" x="21"/>
        <item h="1" m="1" x="26"/>
        <item h="1" x="22"/>
        <item h="1" x="23"/>
        <item h="1" x="24"/>
        <item h="1" x="9"/>
        <item t="default"/>
      </items>
    </pivotField>
    <pivotField showAll="0"/>
    <pivotField axis="axisRow" showAll="0">
      <items count="142">
        <item x="31"/>
        <item x="42"/>
        <item x="54"/>
        <item x="19"/>
        <item x="22"/>
        <item x="101"/>
        <item x="44"/>
        <item x="12"/>
        <item x="70"/>
        <item x="13"/>
        <item x="43"/>
        <item x="14"/>
        <item x="6"/>
        <item x="7"/>
        <item x="39"/>
        <item x="79"/>
        <item x="64"/>
        <item x="26"/>
        <item x="21"/>
        <item x="23"/>
        <item x="92"/>
        <item x="85"/>
        <item x="3"/>
        <item x="20"/>
        <item x="83"/>
        <item x="52"/>
        <item x="88"/>
        <item x="9"/>
        <item x="11"/>
        <item x="84"/>
        <item x="24"/>
        <item x="25"/>
        <item x="89"/>
        <item x="27"/>
        <item x="28"/>
        <item x="30"/>
        <item x="18"/>
        <item x="49"/>
        <item x="50"/>
        <item x="48"/>
        <item x="128"/>
        <item x="56"/>
        <item x="90"/>
        <item x="51"/>
        <item x="40"/>
        <item x="41"/>
        <item x="93"/>
        <item x="72"/>
        <item x="71"/>
        <item x="69"/>
        <item x="73"/>
        <item x="74"/>
        <item x="45"/>
        <item x="94"/>
        <item x="76"/>
        <item x="46"/>
        <item x="75"/>
        <item x="15"/>
        <item x="29"/>
        <item x="8"/>
        <item x="53"/>
        <item x="66"/>
        <item x="16"/>
        <item x="0"/>
        <item x="57"/>
        <item x="36"/>
        <item x="59"/>
        <item x="37"/>
        <item x="38"/>
        <item x="60"/>
        <item x="62"/>
        <item x="63"/>
        <item x="78"/>
        <item x="55"/>
        <item x="32"/>
        <item x="129"/>
        <item x="87"/>
        <item x="33"/>
        <item x="34"/>
        <item x="1"/>
        <item x="4"/>
        <item x="35"/>
        <item x="58"/>
        <item x="77"/>
        <item x="97"/>
        <item x="17"/>
        <item x="98"/>
        <item x="2"/>
        <item x="61"/>
        <item x="5"/>
        <item x="127"/>
        <item x="67"/>
        <item x="81"/>
        <item x="80"/>
        <item x="114"/>
        <item x="113"/>
        <item x="100"/>
        <item x="104"/>
        <item x="112"/>
        <item x="131"/>
        <item x="132"/>
        <item x="111"/>
        <item x="130"/>
        <item x="103"/>
        <item x="118"/>
        <item x="119"/>
        <item x="124"/>
        <item x="122"/>
        <item x="117"/>
        <item x="82"/>
        <item x="115"/>
        <item x="68"/>
        <item x="65"/>
        <item x="125"/>
        <item x="126"/>
        <item x="110"/>
        <item x="134"/>
        <item x="133"/>
        <item x="108"/>
        <item x="135"/>
        <item x="136"/>
        <item x="137"/>
        <item x="138"/>
        <item x="86"/>
        <item x="95"/>
        <item x="107"/>
        <item x="91"/>
        <item x="10"/>
        <item x="47"/>
        <item x="102"/>
        <item x="99"/>
        <item x="109"/>
        <item x="116"/>
        <item x="96"/>
        <item m="1" x="140"/>
        <item x="120"/>
        <item x="121"/>
        <item x="123"/>
        <item x="105"/>
        <item x="106"/>
        <item x="139"/>
        <item t="default"/>
      </items>
    </pivotField>
    <pivotField showAll="0"/>
    <pivotField axis="axisRow" showAll="0">
      <items count="185">
        <item x="38"/>
        <item x="124"/>
        <item x="116"/>
        <item x="31"/>
        <item x="68"/>
        <item x="12"/>
        <item x="32"/>
        <item x="54"/>
        <item x="43"/>
        <item x="110"/>
        <item x="75"/>
        <item x="115"/>
        <item x="9"/>
        <item x="27"/>
        <item x="57"/>
        <item x="96"/>
        <item x="2"/>
        <item x="19"/>
        <item m="1" x="183"/>
        <item m="1" x="181"/>
        <item x="76"/>
        <item x="108"/>
        <item x="123"/>
        <item x="25"/>
        <item x="11"/>
        <item x="4"/>
        <item x="37"/>
        <item x="77"/>
        <item x="107"/>
        <item x="23"/>
        <item m="1" x="163"/>
        <item m="1" x="169"/>
        <item m="1" x="180"/>
        <item m="1" x="160"/>
        <item x="35"/>
        <item x="36"/>
        <item m="1" x="147"/>
        <item m="1" x="182"/>
        <item x="72"/>
        <item x="52"/>
        <item x="47"/>
        <item x="111"/>
        <item x="114"/>
        <item x="122"/>
        <item x="71"/>
        <item x="67"/>
        <item x="41"/>
        <item x="117"/>
        <item x="102"/>
        <item m="1" x="166"/>
        <item x="7"/>
        <item x="10"/>
        <item x="45"/>
        <item m="1" x="176"/>
        <item m="1" x="175"/>
        <item x="120"/>
        <item m="1" x="179"/>
        <item m="1" x="173"/>
        <item m="1" x="154"/>
        <item m="1" x="171"/>
        <item x="46"/>
        <item x="81"/>
        <item m="1" x="178"/>
        <item x="8"/>
        <item m="1" x="157"/>
        <item x="21"/>
        <item x="85"/>
        <item x="17"/>
        <item x="60"/>
        <item m="1" x="152"/>
        <item x="5"/>
        <item x="100"/>
        <item x="48"/>
        <item m="1" x="151"/>
        <item x="30"/>
        <item x="66"/>
        <item x="113"/>
        <item m="1" x="172"/>
        <item x="29"/>
        <item x="26"/>
        <item x="65"/>
        <item x="49"/>
        <item x="20"/>
        <item x="18"/>
        <item x="94"/>
        <item x="33"/>
        <item x="22"/>
        <item m="1" x="170"/>
        <item x="28"/>
        <item x="50"/>
        <item x="121"/>
        <item x="42"/>
        <item x="16"/>
        <item x="14"/>
        <item x="55"/>
        <item x="69"/>
        <item x="61"/>
        <item m="1" x="161"/>
        <item x="34"/>
        <item x="104"/>
        <item x="0"/>
        <item x="112"/>
        <item m="1" x="165"/>
        <item x="1"/>
        <item x="15"/>
        <item x="62"/>
        <item m="1" x="164"/>
        <item m="1" x="159"/>
        <item x="106"/>
        <item x="39"/>
        <item x="63"/>
        <item x="13"/>
        <item m="1" x="177"/>
        <item m="1" x="145"/>
        <item x="44"/>
        <item x="101"/>
        <item x="103"/>
        <item m="1" x="158"/>
        <item m="1" x="156"/>
        <item m="1" x="155"/>
        <item m="1" x="167"/>
        <item m="1" x="143"/>
        <item x="3"/>
        <item x="109"/>
        <item x="118"/>
        <item m="1" x="174"/>
        <item x="105"/>
        <item x="82"/>
        <item x="125"/>
        <item x="58"/>
        <item x="90"/>
        <item x="6"/>
        <item x="51"/>
        <item x="56"/>
        <item x="89"/>
        <item x="83"/>
        <item x="70"/>
        <item x="64"/>
        <item m="1" x="168"/>
        <item x="84"/>
        <item x="87"/>
        <item x="59"/>
        <item x="74"/>
        <item x="24"/>
        <item x="99"/>
        <item x="40"/>
        <item x="73"/>
        <item x="97"/>
        <item x="127"/>
        <item x="129"/>
        <item x="130"/>
        <item x="98"/>
        <item m="1" x="162"/>
        <item m="1" x="141"/>
        <item m="1" x="149"/>
        <item m="1" x="146"/>
        <item m="1" x="148"/>
        <item m="1" x="142"/>
        <item x="128"/>
        <item x="86"/>
        <item x="133"/>
        <item x="126"/>
        <item x="134"/>
        <item x="138"/>
        <item x="140"/>
        <item x="139"/>
        <item x="135"/>
        <item m="1" x="153"/>
        <item x="80"/>
        <item m="1" x="150"/>
        <item x="132"/>
        <item x="136"/>
        <item x="53"/>
        <item x="95"/>
        <item x="119"/>
        <item x="131"/>
        <item x="137"/>
        <item m="1" x="144"/>
        <item x="92"/>
        <item x="93"/>
        <item x="88"/>
        <item x="91"/>
        <item x="78"/>
        <item x="79"/>
        <item t="default"/>
      </items>
    </pivotField>
    <pivotField axis="axisPage" multipleItemSelectionAllowed="1" showAll="0">
      <items count="11">
        <item x="7"/>
        <item x="3"/>
        <item h="1" x="0"/>
        <item x="2"/>
        <item m="1" x="9"/>
        <item x="1"/>
        <item h="1" x="5"/>
        <item h="1" m="1" x="8"/>
        <item h="1" x="6"/>
        <item h="1" x="4"/>
        <item t="default"/>
      </items>
    </pivotField>
    <pivotField dataField="1" showAll="0"/>
    <pivotField axis="axisRow" showAll="0">
      <items count="54">
        <item x="10"/>
        <item x="0"/>
        <item x="9"/>
        <item x="3"/>
        <item x="7"/>
        <item x="6"/>
        <item x="17"/>
        <item x="19"/>
        <item x="15"/>
        <item x="8"/>
        <item x="13"/>
        <item x="14"/>
        <item x="16"/>
        <item x="31"/>
        <item x="26"/>
        <item x="18"/>
        <item x="12"/>
        <item x="29"/>
        <item x="22"/>
        <item x="28"/>
        <item x="30"/>
        <item x="25"/>
        <item x="11"/>
        <item x="24"/>
        <item x="23"/>
        <item x="34"/>
        <item x="40"/>
        <item x="39"/>
        <item x="38"/>
        <item x="27"/>
        <item x="32"/>
        <item x="36"/>
        <item x="37"/>
        <item x="21"/>
        <item x="2"/>
        <item x="43"/>
        <item x="20"/>
        <item x="41"/>
        <item x="51"/>
        <item x="49"/>
        <item x="35"/>
        <item x="45"/>
        <item x="47"/>
        <item m="1" x="52"/>
        <item x="4"/>
        <item x="1"/>
        <item x="5"/>
        <item x="33"/>
        <item x="44"/>
        <item x="42"/>
        <item x="50"/>
        <item x="46"/>
        <item x="4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dataField="1" showAll="0"/>
    <pivotField showAll="0"/>
    <pivotField showAll="0"/>
    <pivotField numFmtId="164" showAll="0"/>
    <pivotField numFmtId="164" showAll="0"/>
    <pivotField numFmtId="164" showAll="0"/>
    <pivotField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s>
  <rowFields count="3">
    <field x="4"/>
    <field x="6"/>
    <field x="9"/>
  </rowFields>
  <rowItems count="67">
    <i>
      <x v="6"/>
    </i>
    <i r="1">
      <x v="127"/>
    </i>
    <i r="2">
      <x v="45"/>
    </i>
    <i>
      <x v="8"/>
    </i>
    <i r="1">
      <x v="8"/>
    </i>
    <i r="2">
      <x v="31"/>
    </i>
    <i>
      <x v="21"/>
    </i>
    <i r="1">
      <x v="68"/>
    </i>
    <i r="2">
      <x v="42"/>
    </i>
    <i>
      <x v="24"/>
    </i>
    <i r="1">
      <x v="68"/>
    </i>
    <i r="2">
      <x v="42"/>
    </i>
    <i>
      <x v="26"/>
    </i>
    <i r="1">
      <x v="137"/>
    </i>
    <i r="2">
      <x v="52"/>
    </i>
    <i>
      <x v="29"/>
    </i>
    <i r="1">
      <x v="68"/>
    </i>
    <i r="2">
      <x v="42"/>
    </i>
    <i>
      <x v="32"/>
    </i>
    <i r="1">
      <x v="137"/>
    </i>
    <i r="2">
      <x v="52"/>
    </i>
    <i>
      <x v="42"/>
    </i>
    <i r="1">
      <x v="137"/>
    </i>
    <i r="2">
      <x v="52"/>
    </i>
    <i>
      <x v="46"/>
    </i>
    <i r="1">
      <x v="94"/>
    </i>
    <i r="2">
      <x v="45"/>
    </i>
    <i>
      <x v="49"/>
    </i>
    <i r="1">
      <x v="8"/>
    </i>
    <i r="2">
      <x v="31"/>
    </i>
    <i>
      <x v="53"/>
    </i>
    <i r="1">
      <x v="94"/>
    </i>
    <i r="2">
      <x v="45"/>
    </i>
    <i>
      <x v="54"/>
    </i>
    <i r="1">
      <x v="114"/>
    </i>
    <i r="2">
      <x v="32"/>
    </i>
    <i>
      <x v="91"/>
    </i>
    <i r="1">
      <x v="8"/>
    </i>
    <i r="2">
      <x v="31"/>
    </i>
    <i>
      <x v="96"/>
    </i>
    <i r="1">
      <x v="27"/>
    </i>
    <i r="2">
      <x v="45"/>
    </i>
    <i>
      <x v="97"/>
    </i>
    <i r="1">
      <x v="182"/>
    </i>
    <i r="2">
      <x v="45"/>
    </i>
    <i>
      <x v="98"/>
    </i>
    <i r="1">
      <x v="127"/>
    </i>
    <i r="2">
      <x v="45"/>
    </i>
    <i>
      <x v="101"/>
    </i>
    <i r="1">
      <x v="61"/>
    </i>
    <i r="2">
      <x v="45"/>
    </i>
    <i>
      <x v="104"/>
    </i>
    <i r="1">
      <x v="66"/>
    </i>
    <i r="2">
      <x v="45"/>
    </i>
    <i>
      <x v="107"/>
    </i>
    <i r="1">
      <x v="140"/>
    </i>
    <i r="2">
      <x v="45"/>
    </i>
    <i>
      <x v="129"/>
    </i>
    <i r="1">
      <x v="27"/>
    </i>
    <i r="2">
      <x v="45"/>
    </i>
    <i>
      <x v="130"/>
    </i>
    <i r="1">
      <x v="20"/>
    </i>
    <i r="2">
      <x v="45"/>
    </i>
    <i>
      <x v="140"/>
    </i>
    <i r="1">
      <x v="183"/>
    </i>
    <i r="2">
      <x v="45"/>
    </i>
    <i t="grand">
      <x/>
    </i>
  </rowItems>
  <colFields count="1">
    <field x="-2"/>
  </colFields>
  <colItems count="4">
    <i>
      <x/>
    </i>
    <i i="1">
      <x v="1"/>
    </i>
    <i i="2">
      <x v="2"/>
    </i>
    <i i="3">
      <x v="3"/>
    </i>
  </colItems>
  <pageFields count="2">
    <pageField fld="7" hier="-1"/>
    <pageField fld="2" hier="-1"/>
  </pageFields>
  <dataFields count="4">
    <dataField name="Sum of Overall Budget" fld="8" baseField="6" baseItem="109" numFmtId="44"/>
    <dataField name="Sum of Engineer's Est" fld="24" baseField="3" baseItem="4" numFmtId="44"/>
    <dataField name="Sum of Bid Amount" fld="25" baseField="6" baseItem="100" numFmtId="44"/>
    <dataField name="Sum of Final Construction Costs" fld="28" baseField="6" baseItem="10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3818E67-E179-43B4-B0CC-DE09721936C3}" name="PivotTable1" cacheId="22" applyNumberFormats="0" applyBorderFormats="0" applyFontFormats="0" applyPatternFormats="0" applyAlignmentFormats="0" applyWidthHeightFormats="1" dataCaption="Values" updatedVersion="8" minRefreshableVersion="3" itemPrintTitles="1" createdVersion="8" indent="0" outline="1" outlineData="1" multipleFieldFilters="0">
  <location ref="A1:B19" firstHeaderRow="1" firstDataRow="1" firstDataCol="1"/>
  <pivotFields count="42">
    <pivotField axis="axisRow" multipleItemSelectionAllowed="1" showAll="0">
      <items count="19">
        <item h="1" x="0"/>
        <item h="1" x="1"/>
        <item h="1" x="2"/>
        <item h="1" x="3"/>
        <item h="1" x="4"/>
        <item h="1" x="5"/>
        <item h="1" x="6"/>
        <item h="1" x="7"/>
        <item h="1" m="1" x="16"/>
        <item x="8"/>
        <item h="1" x="9"/>
        <item h="1" x="10"/>
        <item h="1" x="11"/>
        <item h="1" x="12"/>
        <item h="1" x="13"/>
        <item h="1" m="1" x="17"/>
        <item h="1" x="14"/>
        <item h="1" x="15"/>
        <item t="default"/>
      </items>
    </pivotField>
    <pivotField showAll="0"/>
    <pivotField showAll="0"/>
    <pivotField multipleItemSelectionAllowed="1" showAll="0"/>
    <pivotField showAll="0"/>
    <pivotField axis="axisRow" showAll="0">
      <items count="40">
        <item x="30"/>
        <item x="17"/>
        <item x="6"/>
        <item x="14"/>
        <item x="35"/>
        <item x="26"/>
        <item x="8"/>
        <item x="25"/>
        <item x="7"/>
        <item x="3"/>
        <item x="18"/>
        <item x="21"/>
        <item x="23"/>
        <item x="13"/>
        <item x="22"/>
        <item x="34"/>
        <item x="2"/>
        <item x="19"/>
        <item m="1" x="38"/>
        <item x="4"/>
        <item x="20"/>
        <item x="28"/>
        <item x="27"/>
        <item x="10"/>
        <item x="0"/>
        <item x="12"/>
        <item x="36"/>
        <item x="11"/>
        <item x="32"/>
        <item x="16"/>
        <item x="1"/>
        <item x="9"/>
        <item x="15"/>
        <item x="29"/>
        <item x="24"/>
        <item m="1" x="37"/>
        <item x="5"/>
        <item x="31"/>
        <item x="33"/>
        <item t="default"/>
      </items>
    </pivotField>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numFmtId="164" showAll="0"/>
    <pivotField numFmtId="164" showAll="0"/>
    <pivotField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s>
  <rowFields count="2">
    <field x="0"/>
    <field x="5"/>
  </rowFields>
  <rowItems count="18">
    <i>
      <x v="9"/>
    </i>
    <i r="1">
      <x/>
    </i>
    <i r="1">
      <x v="3"/>
    </i>
    <i r="1">
      <x v="7"/>
    </i>
    <i r="1">
      <x v="8"/>
    </i>
    <i r="1">
      <x v="9"/>
    </i>
    <i r="1">
      <x v="12"/>
    </i>
    <i r="1">
      <x v="16"/>
    </i>
    <i r="1">
      <x v="17"/>
    </i>
    <i r="1">
      <x v="20"/>
    </i>
    <i r="1">
      <x v="24"/>
    </i>
    <i r="1">
      <x v="25"/>
    </i>
    <i r="1">
      <x v="27"/>
    </i>
    <i r="1">
      <x v="30"/>
    </i>
    <i r="1">
      <x v="31"/>
    </i>
    <i r="1">
      <x v="32"/>
    </i>
    <i r="1">
      <x v="36"/>
    </i>
    <i t="grand">
      <x/>
    </i>
  </rowItems>
  <colItems count="1">
    <i/>
  </colItems>
  <dataFields count="1">
    <dataField name="Sum of Overall Budget" fld="8" baseField="0" baseItem="9" numFmtId="164"/>
  </dataFields>
  <formats count="2">
    <format dxfId="79">
      <pivotArea dataOnly="0" labelOnly="1" outline="0" axis="axisValues" fieldPosition="0"/>
    </format>
    <format dxfId="78">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0.xml><?xml version="1.0" encoding="utf-8"?>
<pivotTableDefinition xmlns="http://schemas.openxmlformats.org/spreadsheetml/2006/main" xmlns:mc="http://schemas.openxmlformats.org/markup-compatibility/2006" xmlns:xr="http://schemas.microsoft.com/office/spreadsheetml/2014/revision" mc:Ignorable="xr" xr:uid="{C33F2D84-6EE5-475D-B385-E674A99D7458}" name="PivotTable1"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D66" firstHeaderRow="0" firstDataRow="1" firstDataCol="1" rowPageCount="1" colPageCount="1"/>
  <pivotFields count="42">
    <pivotField axis="axisRow" showAll="0">
      <items count="19">
        <item x="0"/>
        <item x="1"/>
        <item x="2"/>
        <item x="3"/>
        <item x="4"/>
        <item x="5"/>
        <item x="6"/>
        <item x="7"/>
        <item m="1" x="16"/>
        <item x="8"/>
        <item x="9"/>
        <item x="10"/>
        <item x="11"/>
        <item x="12"/>
        <item x="13"/>
        <item x="14"/>
        <item x="15"/>
        <item m="1" x="17"/>
        <item t="default"/>
      </items>
    </pivotField>
    <pivotField showAll="0"/>
    <pivotField showAll="0"/>
    <pivotField showAll="0"/>
    <pivotField showAll="0"/>
    <pivotField showAll="0"/>
    <pivotField axis="axisRow" showAll="0">
      <items count="185">
        <item x="38"/>
        <item x="124"/>
        <item x="116"/>
        <item m="1" x="148"/>
        <item x="31"/>
        <item x="68"/>
        <item x="12"/>
        <item x="74"/>
        <item x="32"/>
        <item x="130"/>
        <item x="54"/>
        <item x="43"/>
        <item x="110"/>
        <item x="75"/>
        <item x="97"/>
        <item x="131"/>
        <item x="115"/>
        <item m="1" x="150"/>
        <item x="137"/>
        <item x="9"/>
        <item x="27"/>
        <item x="57"/>
        <item x="96"/>
        <item x="2"/>
        <item x="19"/>
        <item x="140"/>
        <item x="134"/>
        <item x="138"/>
        <item m="1" x="183"/>
        <item m="1" x="181"/>
        <item x="109"/>
        <item x="76"/>
        <item x="108"/>
        <item x="123"/>
        <item x="25"/>
        <item x="11"/>
        <item x="4"/>
        <item x="37"/>
        <item x="77"/>
        <item x="107"/>
        <item x="23"/>
        <item m="1" x="162"/>
        <item m="1" x="141"/>
        <item m="1" x="149"/>
        <item m="1" x="163"/>
        <item x="99"/>
        <item m="1" x="169"/>
        <item m="1" x="180"/>
        <item x="3"/>
        <item x="128"/>
        <item m="1" x="160"/>
        <item x="80"/>
        <item x="35"/>
        <item x="36"/>
        <item m="1" x="147"/>
        <item x="118"/>
        <item m="1" x="182"/>
        <item x="72"/>
        <item x="52"/>
        <item x="125"/>
        <item x="47"/>
        <item x="111"/>
        <item x="114"/>
        <item x="122"/>
        <item x="71"/>
        <item x="67"/>
        <item x="41"/>
        <item x="117"/>
        <item x="102"/>
        <item m="1" x="166"/>
        <item x="70"/>
        <item x="7"/>
        <item x="10"/>
        <item x="45"/>
        <item m="1" x="176"/>
        <item m="1" x="175"/>
        <item x="133"/>
        <item x="126"/>
        <item x="120"/>
        <item x="119"/>
        <item m="1" x="168"/>
        <item x="59"/>
        <item m="1" x="179"/>
        <item m="1" x="174"/>
        <item m="1" x="173"/>
        <item m="1" x="154"/>
        <item m="1" x="171"/>
        <item x="46"/>
        <item x="51"/>
        <item x="90"/>
        <item x="6"/>
        <item x="58"/>
        <item x="81"/>
        <item m="1" x="178"/>
        <item x="82"/>
        <item x="8"/>
        <item m="1" x="157"/>
        <item x="83"/>
        <item x="98"/>
        <item x="21"/>
        <item x="84"/>
        <item x="85"/>
        <item x="17"/>
        <item x="129"/>
        <item x="60"/>
        <item m="1" x="152"/>
        <item x="53"/>
        <item x="5"/>
        <item x="100"/>
        <item x="127"/>
        <item x="48"/>
        <item x="139"/>
        <item m="1" x="151"/>
        <item x="30"/>
        <item x="95"/>
        <item x="66"/>
        <item x="113"/>
        <item x="86"/>
        <item m="1" x="172"/>
        <item x="29"/>
        <item x="26"/>
        <item x="65"/>
        <item x="49"/>
        <item x="20"/>
        <item x="18"/>
        <item x="94"/>
        <item x="33"/>
        <item x="22"/>
        <item m="1" x="170"/>
        <item x="64"/>
        <item x="28"/>
        <item x="136"/>
        <item x="50"/>
        <item x="121"/>
        <item x="56"/>
        <item x="42"/>
        <item x="16"/>
        <item x="14"/>
        <item x="55"/>
        <item x="69"/>
        <item x="61"/>
        <item m="1" x="161"/>
        <item x="34"/>
        <item x="104"/>
        <item x="0"/>
        <item x="112"/>
        <item m="1" x="165"/>
        <item x="73"/>
        <item x="1"/>
        <item x="15"/>
        <item x="135"/>
        <item x="62"/>
        <item m="1" x="164"/>
        <item x="87"/>
        <item m="1" x="146"/>
        <item x="132"/>
        <item m="1" x="159"/>
        <item m="1" x="142"/>
        <item x="106"/>
        <item m="1" x="144"/>
        <item x="40"/>
        <item x="39"/>
        <item x="63"/>
        <item x="13"/>
        <item m="1" x="177"/>
        <item m="1" x="145"/>
        <item x="105"/>
        <item x="44"/>
        <item x="101"/>
        <item x="103"/>
        <item m="1" x="158"/>
        <item m="1" x="153"/>
        <item m="1" x="156"/>
        <item m="1" x="155"/>
        <item m="1" x="167"/>
        <item x="89"/>
        <item x="24"/>
        <item m="1" x="143"/>
        <item x="92"/>
        <item x="93"/>
        <item x="88"/>
        <item x="91"/>
        <item x="78"/>
        <item x="79"/>
        <item t="default"/>
      </items>
    </pivotField>
    <pivotField axis="axisPage" multipleItemSelectionAllowed="1" showAll="0">
      <items count="11">
        <item h="1" x="7"/>
        <item x="3"/>
        <item x="0"/>
        <item h="1" x="2"/>
        <item h="1" x="6"/>
        <item m="1" x="9"/>
        <item h="1" x="1"/>
        <item h="1" x="5"/>
        <item h="1" x="4"/>
        <item m="1"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dataField="1" dragToRow="0" dragToCol="0" dragToPage="0" showAll="0" defaultSubtotal="0"/>
    <pivotField dragToRow="0" dragToCol="0" dragToPage="0" showAll="0" defaultSubtotal="0"/>
    <pivotField dragToRow="0" dragToCol="0" dragToPage="0" showAll="0" defaultSubtotal="0"/>
  </pivotFields>
  <rowFields count="2">
    <field x="0"/>
    <field x="6"/>
  </rowFields>
  <rowItems count="63">
    <i>
      <x/>
    </i>
    <i r="1">
      <x v="144"/>
    </i>
    <i>
      <x v="1"/>
    </i>
    <i r="1">
      <x v="23"/>
    </i>
    <i>
      <x v="2"/>
    </i>
    <i r="1">
      <x v="36"/>
    </i>
    <i r="1">
      <x v="48"/>
    </i>
    <i>
      <x v="3"/>
    </i>
    <i r="1">
      <x v="19"/>
    </i>
    <i r="1">
      <x v="35"/>
    </i>
    <i r="1">
      <x v="71"/>
    </i>
    <i r="1">
      <x v="72"/>
    </i>
    <i r="1">
      <x v="90"/>
    </i>
    <i r="1">
      <x v="95"/>
    </i>
    <i>
      <x v="4"/>
    </i>
    <i r="1">
      <x v="6"/>
    </i>
    <i r="1">
      <x v="24"/>
    </i>
    <i r="1">
      <x v="34"/>
    </i>
    <i r="1">
      <x v="40"/>
    </i>
    <i r="1">
      <x v="99"/>
    </i>
    <i r="1">
      <x v="102"/>
    </i>
    <i r="1">
      <x v="123"/>
    </i>
    <i r="1">
      <x v="124"/>
    </i>
    <i r="1">
      <x v="127"/>
    </i>
    <i r="1">
      <x v="136"/>
    </i>
    <i r="1">
      <x v="137"/>
    </i>
    <i r="1">
      <x v="149"/>
    </i>
    <i r="1">
      <x v="163"/>
    </i>
    <i>
      <x v="5"/>
    </i>
    <i r="1">
      <x v="4"/>
    </i>
    <i r="1">
      <x v="8"/>
    </i>
    <i r="1">
      <x v="20"/>
    </i>
    <i r="1">
      <x v="52"/>
    </i>
    <i r="1">
      <x v="70"/>
    </i>
    <i r="1">
      <x v="113"/>
    </i>
    <i r="1">
      <x v="119"/>
    </i>
    <i r="1">
      <x v="120"/>
    </i>
    <i r="1">
      <x v="126"/>
    </i>
    <i r="1">
      <x v="130"/>
    </i>
    <i r="1">
      <x v="142"/>
    </i>
    <i r="1">
      <x v="161"/>
    </i>
    <i>
      <x v="6"/>
    </i>
    <i r="1">
      <x v="23"/>
    </i>
    <i r="1">
      <x v="58"/>
    </i>
    <i r="1">
      <x v="60"/>
    </i>
    <i r="1">
      <x v="73"/>
    </i>
    <i r="1">
      <x v="87"/>
    </i>
    <i r="1">
      <x v="110"/>
    </i>
    <i r="1">
      <x v="122"/>
    </i>
    <i r="1">
      <x v="132"/>
    </i>
    <i r="1">
      <x v="135"/>
    </i>
    <i r="1">
      <x v="167"/>
    </i>
    <i>
      <x v="7"/>
    </i>
    <i r="1">
      <x v="10"/>
    </i>
    <i r="1">
      <x v="64"/>
    </i>
    <i r="1">
      <x v="91"/>
    </i>
    <i r="1">
      <x v="115"/>
    </i>
    <i r="1">
      <x v="121"/>
    </i>
    <i r="1">
      <x v="134"/>
    </i>
    <i r="1">
      <x v="162"/>
    </i>
    <i>
      <x v="9"/>
    </i>
    <i r="1">
      <x v="7"/>
    </i>
    <i t="grand">
      <x/>
    </i>
  </rowItems>
  <colFields count="1">
    <field x="-2"/>
  </colFields>
  <colItems count="3">
    <i>
      <x/>
    </i>
    <i i="1">
      <x v="1"/>
    </i>
    <i i="2">
      <x v="2"/>
    </i>
  </colItems>
  <pageFields count="1">
    <pageField fld="7" hier="-1"/>
  </pageFields>
  <dataFields count="3">
    <dataField name="Sum of Bid Amount" fld="25" baseField="0" baseItem="0" numFmtId="164"/>
    <dataField name="Sum of Final Construction Costs" fld="28" baseField="0" baseItem="2" numFmtId="164"/>
    <dataField name="Sum of Percent Over/Under" fld="39" baseField="0" baseItem="0"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94979E6-A2C2-44C1-8BC7-455AF2D8BB51}" name="PivotTable1" cacheId="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K1:N4" firstHeaderRow="0" firstDataRow="1" firstDataCol="1"/>
  <pivotFields count="9">
    <pivotField axis="axisRow" showAll="0">
      <items count="3">
        <item x="0"/>
        <item x="1"/>
        <item t="default"/>
      </items>
    </pivotField>
    <pivotField showAll="0"/>
    <pivotField showAll="0"/>
    <pivotField showAll="0"/>
    <pivotField dataField="1" showAll="0"/>
    <pivotField numFmtId="44" showAll="0"/>
    <pivotField showAll="0"/>
    <pivotField dataField="1" showAll="0"/>
    <pivotField dataField="1" dragToRow="0" dragToCol="0" dragToPage="0" showAll="0" defaultSubtotal="0"/>
  </pivotFields>
  <rowFields count="1">
    <field x="0"/>
  </rowFields>
  <rowItems count="3">
    <i>
      <x/>
    </i>
    <i>
      <x v="1"/>
    </i>
    <i t="grand">
      <x/>
    </i>
  </rowItems>
  <colFields count="1">
    <field x="-2"/>
  </colFields>
  <colItems count="3">
    <i>
      <x/>
    </i>
    <i i="1">
      <x v="1"/>
    </i>
    <i i="2">
      <x v="2"/>
    </i>
  </colItems>
  <dataFields count="3">
    <dataField name="Sum of Journaled this FY" fld="4" baseField="0" baseItem="0" numFmtId="44"/>
    <dataField name="Journal Entry Target 89%" fld="7" baseField="0" baseItem="0" numFmtId="44"/>
    <dataField name="Sum of Differnce" fld="8" baseField="0" baseItem="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754BCA8A-C9DE-49ED-89C7-C3D018D1DFB4}" name="PivotTable3"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3:G81" firstHeaderRow="1" firstDataRow="1" firstDataCol="1"/>
  <pivotFields count="42">
    <pivotField showAll="0"/>
    <pivotField showAll="0"/>
    <pivotField showAll="0"/>
    <pivotField axis="axisRow" showAll="0">
      <items count="13">
        <item x="6"/>
        <item x="4"/>
        <item x="8"/>
        <item x="7"/>
        <item x="0"/>
        <item x="5"/>
        <item x="1"/>
        <item x="2"/>
        <item x="10"/>
        <item x="9"/>
        <item x="3"/>
        <item x="11"/>
        <item t="default"/>
      </items>
    </pivotField>
    <pivotField showAll="0"/>
    <pivotField showAll="0"/>
    <pivotField axis="axisRow" showAll="0">
      <items count="185">
        <item x="38"/>
        <item x="124"/>
        <item x="116"/>
        <item x="31"/>
        <item x="68"/>
        <item x="12"/>
        <item x="32"/>
        <item x="54"/>
        <item x="43"/>
        <item x="110"/>
        <item x="75"/>
        <item x="115"/>
        <item x="9"/>
        <item x="27"/>
        <item x="57"/>
        <item x="96"/>
        <item x="2"/>
        <item x="19"/>
        <item m="1" x="183"/>
        <item m="1" x="181"/>
        <item x="76"/>
        <item x="108"/>
        <item x="123"/>
        <item x="25"/>
        <item x="11"/>
        <item x="4"/>
        <item x="37"/>
        <item x="77"/>
        <item x="107"/>
        <item x="23"/>
        <item m="1" x="163"/>
        <item m="1" x="169"/>
        <item m="1" x="180"/>
        <item m="1" x="160"/>
        <item x="35"/>
        <item x="36"/>
        <item m="1" x="147"/>
        <item m="1" x="182"/>
        <item x="72"/>
        <item x="52"/>
        <item x="47"/>
        <item x="111"/>
        <item x="114"/>
        <item x="122"/>
        <item x="71"/>
        <item x="67"/>
        <item x="41"/>
        <item x="117"/>
        <item x="102"/>
        <item m="1" x="166"/>
        <item x="7"/>
        <item x="10"/>
        <item x="45"/>
        <item m="1" x="176"/>
        <item m="1" x="175"/>
        <item x="120"/>
        <item m="1" x="179"/>
        <item m="1" x="173"/>
        <item m="1" x="154"/>
        <item m="1" x="171"/>
        <item x="46"/>
        <item x="81"/>
        <item m="1" x="178"/>
        <item x="8"/>
        <item m="1" x="157"/>
        <item x="21"/>
        <item x="85"/>
        <item x="17"/>
        <item x="60"/>
        <item m="1" x="152"/>
        <item x="5"/>
        <item x="100"/>
        <item x="48"/>
        <item m="1" x="151"/>
        <item x="30"/>
        <item x="66"/>
        <item x="113"/>
        <item m="1" x="172"/>
        <item x="29"/>
        <item x="26"/>
        <item x="65"/>
        <item x="49"/>
        <item x="20"/>
        <item x="18"/>
        <item x="94"/>
        <item x="33"/>
        <item x="22"/>
        <item m="1" x="170"/>
        <item x="28"/>
        <item x="50"/>
        <item x="121"/>
        <item x="42"/>
        <item x="16"/>
        <item x="14"/>
        <item x="55"/>
        <item x="69"/>
        <item x="61"/>
        <item m="1" x="161"/>
        <item x="34"/>
        <item x="104"/>
        <item x="0"/>
        <item x="112"/>
        <item m="1" x="165"/>
        <item x="1"/>
        <item x="15"/>
        <item x="62"/>
        <item m="1" x="164"/>
        <item m="1" x="159"/>
        <item x="106"/>
        <item x="39"/>
        <item x="63"/>
        <item x="13"/>
        <item m="1" x="177"/>
        <item m="1" x="145"/>
        <item x="44"/>
        <item x="101"/>
        <item x="103"/>
        <item m="1" x="158"/>
        <item m="1" x="156"/>
        <item m="1" x="155"/>
        <item m="1" x="167"/>
        <item m="1" x="143"/>
        <item x="3"/>
        <item x="109"/>
        <item x="118"/>
        <item m="1" x="174"/>
        <item x="105"/>
        <item x="82"/>
        <item x="125"/>
        <item x="58"/>
        <item x="90"/>
        <item x="6"/>
        <item x="51"/>
        <item x="56"/>
        <item x="89"/>
        <item x="83"/>
        <item x="70"/>
        <item x="64"/>
        <item m="1" x="168"/>
        <item x="84"/>
        <item x="87"/>
        <item x="59"/>
        <item x="74"/>
        <item x="24"/>
        <item x="99"/>
        <item x="40"/>
        <item x="73"/>
        <item x="97"/>
        <item x="127"/>
        <item x="129"/>
        <item x="130"/>
        <item x="98"/>
        <item m="1" x="162"/>
        <item m="1" x="141"/>
        <item m="1" x="149"/>
        <item m="1" x="146"/>
        <item m="1" x="148"/>
        <item m="1" x="142"/>
        <item x="128"/>
        <item x="86"/>
        <item x="133"/>
        <item x="126"/>
        <item x="134"/>
        <item x="138"/>
        <item x="140"/>
        <item x="139"/>
        <item x="135"/>
        <item m="1" x="153"/>
        <item x="80"/>
        <item m="1" x="150"/>
        <item x="132"/>
        <item x="136"/>
        <item x="53"/>
        <item x="95"/>
        <item x="119"/>
        <item x="131"/>
        <item x="137"/>
        <item m="1" x="144"/>
        <item x="92"/>
        <item x="93"/>
        <item x="88"/>
        <item x="91"/>
        <item x="78"/>
        <item x="79"/>
        <item t="default"/>
      </items>
    </pivotField>
    <pivotField axis="axisRow" multipleItemSelectionAllowed="1" showAll="0">
      <items count="11">
        <item x="7"/>
        <item x="3"/>
        <item h="1" x="0"/>
        <item x="2"/>
        <item m="1" x="9"/>
        <item x="1"/>
        <item h="1" x="5"/>
        <item h="1" m="1" x="8"/>
        <item h="1" x="6"/>
        <item h="1" x="4"/>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numFmtId="164" showAll="0"/>
    <pivotField numFmtId="164" showAll="0"/>
    <pivotField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s>
  <rowFields count="3">
    <field x="7"/>
    <field x="3"/>
    <field x="6"/>
  </rowFields>
  <rowItems count="78">
    <i>
      <x/>
    </i>
    <i r="1">
      <x v="4"/>
    </i>
    <i r="2">
      <x v="139"/>
    </i>
    <i>
      <x v="1"/>
    </i>
    <i r="1">
      <x v="4"/>
    </i>
    <i r="2">
      <x v="91"/>
    </i>
    <i r="2">
      <x v="114"/>
    </i>
    <i r="2">
      <x v="136"/>
    </i>
    <i r="1">
      <x v="6"/>
    </i>
    <i r="2">
      <x v="86"/>
    </i>
    <i r="2">
      <x v="133"/>
    </i>
    <i r="1">
      <x v="10"/>
    </i>
    <i r="2">
      <x v="72"/>
    </i>
    <i>
      <x v="3"/>
    </i>
    <i r="1">
      <x v="4"/>
    </i>
    <i r="2">
      <x v="8"/>
    </i>
    <i r="2">
      <x v="68"/>
    </i>
    <i r="1">
      <x v="6"/>
    </i>
    <i r="2">
      <x/>
    </i>
    <i r="2">
      <x v="70"/>
    </i>
    <i r="2">
      <x v="94"/>
    </i>
    <i r="1">
      <x v="7"/>
    </i>
    <i r="2">
      <x v="8"/>
    </i>
    <i r="2">
      <x v="68"/>
    </i>
    <i r="2">
      <x v="94"/>
    </i>
    <i r="2">
      <x v="114"/>
    </i>
    <i r="2">
      <x v="137"/>
    </i>
    <i r="1">
      <x v="10"/>
    </i>
    <i r="2">
      <x v="8"/>
    </i>
    <i r="2">
      <x v="95"/>
    </i>
    <i r="2">
      <x v="96"/>
    </i>
    <i r="2">
      <x v="114"/>
    </i>
    <i r="2">
      <x v="137"/>
    </i>
    <i r="2">
      <x v="141"/>
    </i>
    <i>
      <x v="5"/>
    </i>
    <i r="1">
      <x v="4"/>
    </i>
    <i r="2">
      <x v="26"/>
    </i>
    <i r="2">
      <x v="46"/>
    </i>
    <i r="2">
      <x v="66"/>
    </i>
    <i r="2">
      <x v="132"/>
    </i>
    <i r="2">
      <x v="135"/>
    </i>
    <i r="2">
      <x v="140"/>
    </i>
    <i r="2">
      <x v="145"/>
    </i>
    <i r="2">
      <x v="159"/>
    </i>
    <i r="2">
      <x v="182"/>
    </i>
    <i r="2">
      <x v="183"/>
    </i>
    <i r="1">
      <x v="5"/>
    </i>
    <i r="2">
      <x v="27"/>
    </i>
    <i r="1">
      <x v="6"/>
    </i>
    <i r="2">
      <x v="10"/>
    </i>
    <i r="2">
      <x v="35"/>
    </i>
    <i r="2">
      <x v="38"/>
    </i>
    <i r="2">
      <x v="66"/>
    </i>
    <i r="2">
      <x v="103"/>
    </i>
    <i r="2">
      <x v="105"/>
    </i>
    <i r="2">
      <x v="134"/>
    </i>
    <i r="2">
      <x v="140"/>
    </i>
    <i r="2">
      <x v="172"/>
    </i>
    <i r="2">
      <x v="180"/>
    </i>
    <i r="1">
      <x v="7"/>
    </i>
    <i r="2">
      <x v="20"/>
    </i>
    <i r="2">
      <x v="27"/>
    </i>
    <i r="2">
      <x v="61"/>
    </i>
    <i r="2">
      <x v="66"/>
    </i>
    <i r="2">
      <x v="127"/>
    </i>
    <i r="2">
      <x v="140"/>
    </i>
    <i r="2">
      <x v="182"/>
    </i>
    <i r="2">
      <x v="183"/>
    </i>
    <i r="1">
      <x v="8"/>
    </i>
    <i r="2">
      <x v="127"/>
    </i>
    <i r="1">
      <x v="10"/>
    </i>
    <i r="2">
      <x v="45"/>
    </i>
    <i r="2">
      <x v="66"/>
    </i>
    <i r="2">
      <x v="127"/>
    </i>
    <i r="2">
      <x v="135"/>
    </i>
    <i r="2">
      <x v="140"/>
    </i>
    <i r="2">
      <x v="183"/>
    </i>
    <i t="grand">
      <x/>
    </i>
  </rowItems>
  <colItems count="1">
    <i/>
  </colItems>
  <dataFields count="1">
    <dataField name="Sum of Overall Budget" fld="8" baseField="3" baseItem="7"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6D0BDFA5-0377-4CE1-85D8-1013C1EAA607}" name="PivotTable2"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89" firstHeaderRow="1" firstDataRow="1" firstDataCol="1" rowPageCount="1" colPageCount="1"/>
  <pivotFields count="42">
    <pivotField axis="axisRow" showAll="0">
      <items count="19">
        <item x="0"/>
        <item x="1"/>
        <item x="2"/>
        <item x="3"/>
        <item x="4"/>
        <item x="5"/>
        <item x="6"/>
        <item x="7"/>
        <item m="1" x="16"/>
        <item x="8"/>
        <item x="9"/>
        <item x="10"/>
        <item x="11"/>
        <item x="12"/>
        <item m="1" x="17"/>
        <item x="13"/>
        <item x="14"/>
        <item x="15"/>
        <item t="default"/>
      </items>
    </pivotField>
    <pivotField showAll="0"/>
    <pivotField showAll="0"/>
    <pivotField axis="axisRow" showAll="0">
      <items count="13">
        <item x="6"/>
        <item x="4"/>
        <item x="8"/>
        <item x="7"/>
        <item x="0"/>
        <item x="5"/>
        <item x="1"/>
        <item x="2"/>
        <item x="10"/>
        <item x="9"/>
        <item x="3"/>
        <item x="11"/>
        <item t="default"/>
      </items>
    </pivotField>
    <pivotField showAll="0"/>
    <pivotField showAll="0"/>
    <pivotField axis="axisRow" showAll="0">
      <items count="185">
        <item x="38"/>
        <item x="124"/>
        <item x="116"/>
        <item x="31"/>
        <item x="68"/>
        <item x="12"/>
        <item x="32"/>
        <item x="54"/>
        <item x="43"/>
        <item x="110"/>
        <item x="75"/>
        <item x="115"/>
        <item x="9"/>
        <item x="27"/>
        <item x="57"/>
        <item x="96"/>
        <item x="2"/>
        <item x="19"/>
        <item m="1" x="183"/>
        <item m="1" x="181"/>
        <item x="76"/>
        <item x="108"/>
        <item x="123"/>
        <item x="25"/>
        <item x="11"/>
        <item x="4"/>
        <item x="37"/>
        <item x="77"/>
        <item x="107"/>
        <item x="23"/>
        <item m="1" x="163"/>
        <item m="1" x="169"/>
        <item m="1" x="180"/>
        <item m="1" x="160"/>
        <item x="35"/>
        <item x="36"/>
        <item m="1" x="147"/>
        <item m="1" x="182"/>
        <item x="72"/>
        <item x="52"/>
        <item x="47"/>
        <item x="111"/>
        <item x="114"/>
        <item x="122"/>
        <item x="71"/>
        <item x="67"/>
        <item x="41"/>
        <item x="117"/>
        <item x="102"/>
        <item m="1" x="166"/>
        <item x="7"/>
        <item x="10"/>
        <item x="45"/>
        <item m="1" x="176"/>
        <item m="1" x="175"/>
        <item x="120"/>
        <item m="1" x="179"/>
        <item m="1" x="173"/>
        <item m="1" x="154"/>
        <item m="1" x="171"/>
        <item x="46"/>
        <item x="81"/>
        <item m="1" x="178"/>
        <item x="8"/>
        <item m="1" x="157"/>
        <item x="21"/>
        <item x="85"/>
        <item x="17"/>
        <item x="60"/>
        <item m="1" x="152"/>
        <item x="5"/>
        <item x="100"/>
        <item x="48"/>
        <item m="1" x="151"/>
        <item x="30"/>
        <item x="66"/>
        <item x="113"/>
        <item m="1" x="172"/>
        <item x="29"/>
        <item x="26"/>
        <item x="65"/>
        <item x="49"/>
        <item x="20"/>
        <item x="18"/>
        <item x="94"/>
        <item x="33"/>
        <item x="22"/>
        <item m="1" x="170"/>
        <item x="28"/>
        <item x="50"/>
        <item x="121"/>
        <item x="42"/>
        <item x="16"/>
        <item x="14"/>
        <item x="55"/>
        <item x="69"/>
        <item x="61"/>
        <item m="1" x="161"/>
        <item x="34"/>
        <item x="104"/>
        <item x="0"/>
        <item x="112"/>
        <item m="1" x="165"/>
        <item x="1"/>
        <item x="15"/>
        <item x="62"/>
        <item m="1" x="164"/>
        <item m="1" x="159"/>
        <item x="106"/>
        <item x="39"/>
        <item x="63"/>
        <item x="13"/>
        <item m="1" x="177"/>
        <item m="1" x="145"/>
        <item x="44"/>
        <item x="101"/>
        <item x="103"/>
        <item m="1" x="158"/>
        <item m="1" x="156"/>
        <item m="1" x="155"/>
        <item m="1" x="167"/>
        <item m="1" x="143"/>
        <item x="3"/>
        <item x="109"/>
        <item x="118"/>
        <item m="1" x="174"/>
        <item x="105"/>
        <item x="82"/>
        <item x="125"/>
        <item x="58"/>
        <item x="90"/>
        <item x="6"/>
        <item x="51"/>
        <item x="56"/>
        <item x="89"/>
        <item x="83"/>
        <item x="70"/>
        <item x="64"/>
        <item m="1" x="168"/>
        <item x="84"/>
        <item x="87"/>
        <item x="59"/>
        <item x="74"/>
        <item x="24"/>
        <item x="99"/>
        <item x="40"/>
        <item x="73"/>
        <item x="97"/>
        <item x="127"/>
        <item x="129"/>
        <item x="130"/>
        <item x="98"/>
        <item m="1" x="162"/>
        <item m="1" x="141"/>
        <item m="1" x="149"/>
        <item m="1" x="146"/>
        <item m="1" x="148"/>
        <item m="1" x="142"/>
        <item x="128"/>
        <item x="86"/>
        <item x="133"/>
        <item x="126"/>
        <item x="134"/>
        <item x="138"/>
        <item x="140"/>
        <item x="139"/>
        <item x="135"/>
        <item m="1" x="153"/>
        <item x="80"/>
        <item m="1" x="150"/>
        <item x="132"/>
        <item x="136"/>
        <item x="53"/>
        <item x="95"/>
        <item x="119"/>
        <item x="131"/>
        <item x="137"/>
        <item m="1" x="144"/>
        <item x="92"/>
        <item x="93"/>
        <item x="88"/>
        <item x="91"/>
        <item x="78"/>
        <item x="79"/>
        <item t="default"/>
      </items>
    </pivotField>
    <pivotField axis="axisPage" multipleItemSelectionAllowed="1" showAll="0">
      <items count="11">
        <item x="7"/>
        <item x="3"/>
        <item h="1" x="0"/>
        <item x="2"/>
        <item m="1" x="9"/>
        <item x="1"/>
        <item h="1" x="5"/>
        <item h="1" m="1" x="8"/>
        <item h="1" x="6"/>
        <item h="1" x="4"/>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numFmtId="164" showAll="0"/>
    <pivotField numFmtId="164" showAll="0"/>
    <pivotField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s>
  <rowFields count="3">
    <field x="0"/>
    <field x="3"/>
    <field x="6"/>
  </rowFields>
  <rowItems count="86">
    <i>
      <x v="1"/>
    </i>
    <i r="1">
      <x v="6"/>
    </i>
    <i r="2">
      <x v="103"/>
    </i>
    <i>
      <x v="2"/>
    </i>
    <i r="1">
      <x v="6"/>
    </i>
    <i r="2">
      <x v="70"/>
    </i>
    <i>
      <x v="4"/>
    </i>
    <i r="1">
      <x v="6"/>
    </i>
    <i r="2">
      <x v="86"/>
    </i>
    <i>
      <x v="5"/>
    </i>
    <i r="1">
      <x v="4"/>
    </i>
    <i r="2">
      <x v="26"/>
    </i>
    <i r="2">
      <x v="46"/>
    </i>
    <i r="2">
      <x v="136"/>
    </i>
    <i r="2">
      <x v="145"/>
    </i>
    <i r="1">
      <x v="6"/>
    </i>
    <i r="2">
      <x/>
    </i>
    <i r="2">
      <x v="35"/>
    </i>
    <i>
      <x v="6"/>
    </i>
    <i r="1">
      <x v="4"/>
    </i>
    <i r="2">
      <x v="8"/>
    </i>
    <i r="2">
      <x v="91"/>
    </i>
    <i r="2">
      <x v="114"/>
    </i>
    <i r="2">
      <x v="132"/>
    </i>
    <i r="1">
      <x v="6"/>
    </i>
    <i r="2">
      <x v="172"/>
    </i>
    <i r="1">
      <x v="7"/>
    </i>
    <i r="2">
      <x v="8"/>
    </i>
    <i r="2">
      <x v="114"/>
    </i>
    <i r="1">
      <x v="10"/>
    </i>
    <i r="2">
      <x v="8"/>
    </i>
    <i r="2">
      <x v="72"/>
    </i>
    <i r="2">
      <x v="114"/>
    </i>
    <i>
      <x v="7"/>
    </i>
    <i r="1">
      <x v="4"/>
    </i>
    <i r="2">
      <x v="68"/>
    </i>
    <i r="1">
      <x v="6"/>
    </i>
    <i r="2">
      <x v="38"/>
    </i>
    <i r="2">
      <x v="94"/>
    </i>
    <i r="2">
      <x v="105"/>
    </i>
    <i r="2">
      <x v="133"/>
    </i>
    <i r="1">
      <x v="7"/>
    </i>
    <i r="2">
      <x v="68"/>
    </i>
    <i r="2">
      <x v="94"/>
    </i>
    <i r="2">
      <x v="137"/>
    </i>
    <i r="1">
      <x v="10"/>
    </i>
    <i r="2">
      <x v="45"/>
    </i>
    <i r="2">
      <x v="95"/>
    </i>
    <i r="2">
      <x v="96"/>
    </i>
    <i r="2">
      <x v="137"/>
    </i>
    <i r="2">
      <x v="141"/>
    </i>
    <i>
      <x v="9"/>
    </i>
    <i r="1">
      <x v="4"/>
    </i>
    <i r="2">
      <x v="66"/>
    </i>
    <i r="2">
      <x v="135"/>
    </i>
    <i r="2">
      <x v="139"/>
    </i>
    <i r="2">
      <x v="140"/>
    </i>
    <i r="2">
      <x v="159"/>
    </i>
    <i r="2">
      <x v="182"/>
    </i>
    <i r="2">
      <x v="183"/>
    </i>
    <i r="1">
      <x v="5"/>
    </i>
    <i r="2">
      <x v="27"/>
    </i>
    <i r="1">
      <x v="6"/>
    </i>
    <i r="2">
      <x v="10"/>
    </i>
    <i r="2">
      <x v="66"/>
    </i>
    <i r="2">
      <x v="134"/>
    </i>
    <i r="2">
      <x v="140"/>
    </i>
    <i r="2">
      <x v="180"/>
    </i>
    <i r="1">
      <x v="7"/>
    </i>
    <i r="2">
      <x v="20"/>
    </i>
    <i r="2">
      <x v="27"/>
    </i>
    <i r="2">
      <x v="61"/>
    </i>
    <i r="2">
      <x v="66"/>
    </i>
    <i r="2">
      <x v="127"/>
    </i>
    <i r="2">
      <x v="140"/>
    </i>
    <i r="2">
      <x v="182"/>
    </i>
    <i r="2">
      <x v="183"/>
    </i>
    <i r="1">
      <x v="8"/>
    </i>
    <i r="2">
      <x v="127"/>
    </i>
    <i r="1">
      <x v="10"/>
    </i>
    <i r="2">
      <x v="66"/>
    </i>
    <i r="2">
      <x v="127"/>
    </i>
    <i r="2">
      <x v="135"/>
    </i>
    <i r="2">
      <x v="140"/>
    </i>
    <i r="2">
      <x v="183"/>
    </i>
    <i t="grand">
      <x/>
    </i>
  </rowItems>
  <colItems count="1">
    <i/>
  </colItems>
  <pageFields count="1">
    <pageField fld="7" hier="-1"/>
  </pageFields>
  <dataFields count="1">
    <dataField name="Sum of Overall Budget" fld="8" baseField="6" baseItem="109"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28A4F8BA-A058-4DFC-BAEF-0FD08B6B5904}" name="PivotTable5"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E3:F8" firstHeaderRow="1" firstDataRow="1" firstDataCol="1" rowPageCount="1" colPageCount="1"/>
  <pivotFields count="42">
    <pivotField showAll="0"/>
    <pivotField showAll="0"/>
    <pivotField showAll="0"/>
    <pivotField axis="axisRow" showAll="0">
      <items count="13">
        <item x="6"/>
        <item x="4"/>
        <item x="8"/>
        <item x="7"/>
        <item x="0"/>
        <item x="5"/>
        <item x="1"/>
        <item x="2"/>
        <item x="10"/>
        <item x="9"/>
        <item x="3"/>
        <item x="11"/>
        <item t="default"/>
      </items>
    </pivotField>
    <pivotField showAll="0"/>
    <pivotField showAll="0"/>
    <pivotField dataField="1" showAll="0"/>
    <pivotField axis="axisPage" multipleItemSelectionAllowed="1" showAll="0">
      <items count="11">
        <item x="7"/>
        <item h="1" x="3"/>
        <item h="1" x="0"/>
        <item x="2"/>
        <item m="1" x="9"/>
        <item h="1" x="1"/>
        <item h="1" x="5"/>
        <item h="1" m="1" x="8"/>
        <item h="1" x="6"/>
        <item h="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numFmtId="164" showAll="0"/>
    <pivotField numFmtId="164" showAll="0"/>
    <pivotField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s>
  <rowFields count="1">
    <field x="3"/>
  </rowFields>
  <rowItems count="5">
    <i>
      <x v="4"/>
    </i>
    <i>
      <x v="6"/>
    </i>
    <i>
      <x v="7"/>
    </i>
    <i>
      <x v="10"/>
    </i>
    <i t="grand">
      <x/>
    </i>
  </rowItems>
  <colItems count="1">
    <i/>
  </colItems>
  <pageFields count="1">
    <pageField fld="7" hier="-1"/>
  </pageFields>
  <dataFields count="1">
    <dataField name="Count of Project Name" fld="6" subtotal="count" baseField="0" baseItem="0"/>
  </dataFields>
  <chartFormats count="5">
    <chartFormat chart="2" format="0" series="1">
      <pivotArea type="data" outline="0" fieldPosition="0">
        <references count="1">
          <reference field="4294967294" count="1" selected="0">
            <x v="0"/>
          </reference>
        </references>
      </pivotArea>
    </chartFormat>
    <chartFormat chart="2" format="1">
      <pivotArea type="data" outline="0" fieldPosition="0">
        <references count="2">
          <reference field="4294967294" count="1" selected="0">
            <x v="0"/>
          </reference>
          <reference field="3" count="1" selected="0">
            <x v="4"/>
          </reference>
        </references>
      </pivotArea>
    </chartFormat>
    <chartFormat chart="2" format="2">
      <pivotArea type="data" outline="0" fieldPosition="0">
        <references count="2">
          <reference field="4294967294" count="1" selected="0">
            <x v="0"/>
          </reference>
          <reference field="3" count="1" selected="0">
            <x v="6"/>
          </reference>
        </references>
      </pivotArea>
    </chartFormat>
    <chartFormat chart="2" format="3">
      <pivotArea type="data" outline="0" fieldPosition="0">
        <references count="2">
          <reference field="4294967294" count="1" selected="0">
            <x v="0"/>
          </reference>
          <reference field="3" count="1" selected="0">
            <x v="7"/>
          </reference>
        </references>
      </pivotArea>
    </chartFormat>
    <chartFormat chart="2" format="4">
      <pivotArea type="data" outline="0" fieldPosition="0">
        <references count="2">
          <reference field="4294967294" count="1" selected="0">
            <x v="0"/>
          </reference>
          <reference field="3" count="1" selected="0">
            <x v="1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5CE4CB7C-C302-4B11-9B9E-B18892B69EAC}" name="PivotTable4"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C32" firstHeaderRow="0" firstDataRow="1" firstDataCol="1" rowPageCount="1" colPageCount="1"/>
  <pivotFields count="42">
    <pivotField showAll="0"/>
    <pivotField showAll="0"/>
    <pivotField showAll="0"/>
    <pivotField axis="axisRow" showAll="0">
      <items count="13">
        <item x="6"/>
        <item x="4"/>
        <item x="8"/>
        <item x="7"/>
        <item x="0"/>
        <item x="5"/>
        <item x="1"/>
        <item x="2"/>
        <item x="10"/>
        <item x="9"/>
        <item x="3"/>
        <item x="11"/>
        <item t="default"/>
      </items>
    </pivotField>
    <pivotField showAll="0"/>
    <pivotField showAll="0"/>
    <pivotField axis="axisRow" showAll="0">
      <items count="185">
        <item x="38"/>
        <item x="124"/>
        <item x="116"/>
        <item x="31"/>
        <item x="68"/>
        <item x="12"/>
        <item x="32"/>
        <item x="54"/>
        <item x="43"/>
        <item x="110"/>
        <item x="75"/>
        <item x="115"/>
        <item x="9"/>
        <item x="27"/>
        <item x="57"/>
        <item x="96"/>
        <item x="2"/>
        <item x="19"/>
        <item m="1" x="183"/>
        <item m="1" x="181"/>
        <item x="76"/>
        <item x="108"/>
        <item x="123"/>
        <item x="25"/>
        <item x="11"/>
        <item x="4"/>
        <item x="37"/>
        <item x="77"/>
        <item x="107"/>
        <item x="23"/>
        <item m="1" x="163"/>
        <item m="1" x="169"/>
        <item m="1" x="180"/>
        <item m="1" x="160"/>
        <item x="35"/>
        <item x="36"/>
        <item m="1" x="147"/>
        <item m="1" x="182"/>
        <item x="72"/>
        <item x="52"/>
        <item x="47"/>
        <item x="111"/>
        <item x="114"/>
        <item x="122"/>
        <item x="71"/>
        <item x="67"/>
        <item x="41"/>
        <item x="117"/>
        <item x="102"/>
        <item m="1" x="166"/>
        <item x="7"/>
        <item x="10"/>
        <item x="45"/>
        <item m="1" x="176"/>
        <item m="1" x="175"/>
        <item x="120"/>
        <item m="1" x="179"/>
        <item m="1" x="173"/>
        <item m="1" x="154"/>
        <item m="1" x="171"/>
        <item x="46"/>
        <item x="81"/>
        <item m="1" x="178"/>
        <item x="8"/>
        <item m="1" x="157"/>
        <item x="21"/>
        <item x="85"/>
        <item x="17"/>
        <item x="60"/>
        <item m="1" x="152"/>
        <item x="5"/>
        <item x="100"/>
        <item x="48"/>
        <item m="1" x="151"/>
        <item x="30"/>
        <item x="66"/>
        <item x="113"/>
        <item m="1" x="172"/>
        <item x="29"/>
        <item x="26"/>
        <item x="65"/>
        <item x="49"/>
        <item x="20"/>
        <item x="18"/>
        <item x="94"/>
        <item x="33"/>
        <item x="22"/>
        <item m="1" x="170"/>
        <item x="28"/>
        <item x="50"/>
        <item x="121"/>
        <item x="42"/>
        <item x="16"/>
        <item x="14"/>
        <item x="55"/>
        <item x="69"/>
        <item x="61"/>
        <item m="1" x="161"/>
        <item x="34"/>
        <item x="104"/>
        <item x="0"/>
        <item x="112"/>
        <item m="1" x="165"/>
        <item x="1"/>
        <item x="15"/>
        <item x="62"/>
        <item m="1" x="164"/>
        <item m="1" x="159"/>
        <item x="106"/>
        <item x="39"/>
        <item x="63"/>
        <item x="13"/>
        <item m="1" x="177"/>
        <item m="1" x="145"/>
        <item x="44"/>
        <item x="101"/>
        <item x="103"/>
        <item m="1" x="158"/>
        <item m="1" x="156"/>
        <item m="1" x="155"/>
        <item m="1" x="167"/>
        <item m="1" x="143"/>
        <item x="3"/>
        <item x="109"/>
        <item x="118"/>
        <item m="1" x="174"/>
        <item x="105"/>
        <item x="82"/>
        <item x="125"/>
        <item x="58"/>
        <item x="90"/>
        <item x="6"/>
        <item x="51"/>
        <item x="56"/>
        <item x="89"/>
        <item x="83"/>
        <item x="70"/>
        <item x="64"/>
        <item m="1" x="168"/>
        <item x="84"/>
        <item x="87"/>
        <item x="59"/>
        <item x="74"/>
        <item x="24"/>
        <item x="99"/>
        <item x="40"/>
        <item x="73"/>
        <item x="97"/>
        <item x="127"/>
        <item x="129"/>
        <item x="130"/>
        <item x="98"/>
        <item m="1" x="162"/>
        <item m="1" x="141"/>
        <item m="1" x="149"/>
        <item m="1" x="146"/>
        <item m="1" x="148"/>
        <item m="1" x="142"/>
        <item x="128"/>
        <item x="86"/>
        <item x="133"/>
        <item x="126"/>
        <item x="134"/>
        <item x="138"/>
        <item x="140"/>
        <item x="139"/>
        <item x="135"/>
        <item m="1" x="153"/>
        <item x="80"/>
        <item m="1" x="150"/>
        <item x="132"/>
        <item x="136"/>
        <item x="53"/>
        <item x="95"/>
        <item x="119"/>
        <item x="131"/>
        <item x="137"/>
        <item m="1" x="144"/>
        <item x="92"/>
        <item x="93"/>
        <item x="88"/>
        <item x="91"/>
        <item x="78"/>
        <item x="79"/>
        <item t="default"/>
      </items>
    </pivotField>
    <pivotField axis="axisPage" multipleItemSelectionAllowed="1" showAll="0">
      <items count="11">
        <item x="7"/>
        <item h="1" x="3"/>
        <item h="1" x="0"/>
        <item x="2"/>
        <item m="1" x="9"/>
        <item h="1" x="1"/>
        <item h="1" x="5"/>
        <item h="1" m="1" x="8"/>
        <item h="1" x="6"/>
        <item h="1" x="4"/>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numFmtId="164" showAll="0"/>
    <pivotField numFmtId="164" showAll="0"/>
    <pivotField numFmtId="164" showAll="0"/>
    <pivotField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s>
  <rowFields count="2">
    <field x="6"/>
    <field x="3"/>
  </rowFields>
  <rowItems count="29">
    <i>
      <x/>
    </i>
    <i r="1">
      <x v="6"/>
    </i>
    <i>
      <x v="8"/>
    </i>
    <i r="1">
      <x v="4"/>
    </i>
    <i r="1">
      <x v="7"/>
    </i>
    <i r="1">
      <x v="10"/>
    </i>
    <i>
      <x v="68"/>
    </i>
    <i r="1">
      <x v="4"/>
    </i>
    <i r="1">
      <x v="7"/>
    </i>
    <i>
      <x v="70"/>
    </i>
    <i r="1">
      <x v="6"/>
    </i>
    <i>
      <x v="94"/>
    </i>
    <i r="1">
      <x v="6"/>
    </i>
    <i r="1">
      <x v="7"/>
    </i>
    <i>
      <x v="95"/>
    </i>
    <i r="1">
      <x v="10"/>
    </i>
    <i>
      <x v="96"/>
    </i>
    <i r="1">
      <x v="10"/>
    </i>
    <i>
      <x v="114"/>
    </i>
    <i r="1">
      <x v="7"/>
    </i>
    <i r="1">
      <x v="10"/>
    </i>
    <i>
      <x v="137"/>
    </i>
    <i r="1">
      <x v="7"/>
    </i>
    <i r="1">
      <x v="10"/>
    </i>
    <i>
      <x v="139"/>
    </i>
    <i r="1">
      <x v="4"/>
    </i>
    <i>
      <x v="141"/>
    </i>
    <i r="1">
      <x v="10"/>
    </i>
    <i t="grand">
      <x/>
    </i>
  </rowItems>
  <colFields count="1">
    <field x="-2"/>
  </colFields>
  <colItems count="2">
    <i>
      <x/>
    </i>
    <i i="1">
      <x v="1"/>
    </i>
  </colItems>
  <pageFields count="1">
    <pageField fld="7" hier="-1"/>
  </pageFields>
  <dataFields count="2">
    <dataField name="Sum of Overall Budget" fld="8" baseField="6" baseItem="7" numFmtId="44"/>
    <dataField name="Sum of Bid Amount" fld="25" baseField="6" baseItem="7"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DB46604B-6909-43CF-8785-352C8A9011A6}" name="PivotTable7"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E27:E28" firstHeaderRow="1" firstDataRow="1" firstDataCol="0" rowPageCount="1" colPageCount="1"/>
  <pivotFields count="42">
    <pivotField showAll="0"/>
    <pivotField showAll="0"/>
    <pivotField showAll="0"/>
    <pivotField showAll="0"/>
    <pivotField showAll="0"/>
    <pivotField showAll="0"/>
    <pivotField showAll="0"/>
    <pivotField axis="axisPage" showAll="0">
      <items count="11">
        <item x="7"/>
        <item x="3"/>
        <item x="0"/>
        <item x="2"/>
        <item m="1" x="9"/>
        <item x="1"/>
        <item x="5"/>
        <item m="1" x="8"/>
        <item x="6"/>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numFmtId="164" showAll="0"/>
    <pivotField numFmtId="164" showAll="0"/>
    <pivotField numFmtId="164" showAll="0"/>
    <pivotField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s>
  <rowItems count="1">
    <i/>
  </rowItems>
  <colItems count="1">
    <i/>
  </colItems>
  <pageFields count="1">
    <pageField fld="7" item="3" hier="-1"/>
  </pageFields>
  <dataFields count="1">
    <dataField name="Sum of Bid Amount" fld="25" baseField="5" baseItem="1" numFmtId="44"/>
  </dataFields>
  <chartFormats count="2">
    <chartFormat chart="2" format="0" series="1">
      <pivotArea type="data" outline="0" fieldPosition="0">
        <references count="1">
          <reference field="4294967294" count="1" selected="0">
            <x v="0"/>
          </reference>
        </references>
      </pivotArea>
    </chartFormat>
    <chartFormat chart="2" format="13">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62384D52-94EF-4A72-AC6C-251D72B6C9B5}" name="PivotTable7"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L27:L28" firstHeaderRow="1" firstDataRow="1" firstDataCol="0" rowPageCount="1" colPageCount="1"/>
  <pivotFields count="42">
    <pivotField showAll="0"/>
    <pivotField showAll="0"/>
    <pivotField showAll="0"/>
    <pivotField showAll="0"/>
    <pivotField showAll="0"/>
    <pivotField showAll="0"/>
    <pivotField showAll="0"/>
    <pivotField axis="axisPage" showAll="0">
      <items count="11">
        <item x="7"/>
        <item x="3"/>
        <item x="0"/>
        <item x="2"/>
        <item m="1" x="9"/>
        <item x="1"/>
        <item x="5"/>
        <item m="1" x="8"/>
        <item x="6"/>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numFmtId="164" showAll="0"/>
    <pivotField numFmtId="164" showAll="0"/>
    <pivotField numFmtId="164" showAll="0"/>
    <pivotField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s>
  <rowItems count="1">
    <i/>
  </rowItems>
  <colItems count="1">
    <i/>
  </colItems>
  <pageFields count="1">
    <pageField fld="7" item="3" hier="-1"/>
  </pageFields>
  <dataFields count="1">
    <dataField name="Sum of Bid Amount" fld="25" baseField="5" baseItem="1" numFmtId="44"/>
  </dataFields>
  <chartFormats count="3">
    <chartFormat chart="2" format="0" series="1">
      <pivotArea type="data" outline="0" fieldPosition="0">
        <references count="1">
          <reference field="4294967294" count="1" selected="0">
            <x v="0"/>
          </reference>
        </references>
      </pivotArea>
    </chartFormat>
    <chartFormat chart="4" format="11" series="1">
      <pivotArea type="data" outline="0" fieldPosition="0">
        <references count="1">
          <reference field="4294967294" count="1" selected="0">
            <x v="0"/>
          </reference>
        </references>
      </pivotArea>
    </chartFormat>
    <chartFormat chart="4" format="24">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C720CB-817B-4D51-856E-36827015B897}" name="Project_List" displayName="Project_List" ref="A1:AL273" headerRowDxfId="159" dataDxfId="157" headerRowBorderDxfId="158" tableBorderDxfId="156">
  <autoFilter ref="A1:AL273" xr:uid="{66C720CB-817B-4D51-856E-36827015B897}"/>
  <sortState xmlns:xlrd2="http://schemas.microsoft.com/office/spreadsheetml/2017/richdata2" ref="A2:AL272">
    <sortCondition ref="A1:A272"/>
  </sortState>
  <tableColumns count="38">
    <tableColumn id="18" xr3:uid="{AFCEC2FD-C04C-4FB8-AB3F-E9E731994AC2}" name="Fiscal Year" totalsRowLabel="Total" dataDxfId="155" totalsRowDxfId="154"/>
    <tableColumn id="27" xr3:uid="{127523F0-F3B2-4886-84B4-C05C1BD9ADB8}" name="Fund No." dataDxfId="153" totalsRowDxfId="152"/>
    <tableColumn id="24" xr3:uid="{8D8CFCE4-11C2-4872-964D-85BFCE655695}" name="Fund Name" dataDxfId="151" totalsRowDxfId="150">
      <calculatedColumnFormula>LOOKUP(Project_List[[#This Row],[Fund No.]],'Code Lookup'!A$9:A$53,'Code Lookup'!B$9:B$53)</calculatedColumnFormula>
    </tableColumn>
    <tableColumn id="26" xr3:uid="{CB51EBA6-A397-490D-BFA3-717903B8C0F6}" name="Program" dataDxfId="149" totalsRowDxfId="148"/>
    <tableColumn id="25" xr3:uid="{7FE253D7-C0EE-4E92-BE7A-2D203C45B82A}" name="Account #" dataDxfId="147" totalsRowDxfId="146"/>
    <tableColumn id="1" xr3:uid="{6AF09960-2343-4404-AA93-4534EE1A6CDF}" name="Program Name" dataDxfId="145" totalsRowDxfId="144"/>
    <tableColumn id="2" xr3:uid="{D8DCE761-A197-4508-9CF7-F0481C5993AC}" name="Project Name" dataDxfId="143" totalsRowDxfId="142"/>
    <tableColumn id="12" xr3:uid="{A2A7A44E-0FB9-434F-AC1F-197AA6670962}" name="Current Phase" dataDxfId="141" totalsRowDxfId="140"/>
    <tableColumn id="23" xr3:uid="{08DA33B8-DA1C-4249-B76B-B2F3890E017F}" name="Overall Budget" dataDxfId="139" totalsRowDxfId="138" dataCellStyle="Currency"/>
    <tableColumn id="19" xr3:uid="{F0F53416-6002-4D5D-904F-C2B7A7F1F792}" name="Construction PO #s" dataDxfId="137" totalsRowDxfId="136"/>
    <tableColumn id="21" xr3:uid="{36DB04FB-69FA-40C6-A12C-ACBCC3212A68}" name="Design Engineer" dataDxfId="135" totalsRowDxfId="134"/>
    <tableColumn id="22" xr3:uid="{011D9B16-9F11-4435-87EB-662CAF548CA8}" name="Professional Service Agreement (PSA) Amount" dataDxfId="133" totalsRowDxfId="132">
      <calculatedColumnFormula>48000+27000</calculatedColumnFormula>
    </tableColumn>
    <tableColumn id="31" xr3:uid="{F522C3C3-5CBB-4F25-A566-87E824C18AC6}" name="Actual PSA Spent" dataDxfId="131" totalsRowDxfId="130"/>
    <tableColumn id="20" xr3:uid="{28699B30-BD08-407A-B2E7-96468F00CD5B}" name="Fiscal Year Design Complete" dataDxfId="129" totalsRowDxfId="128"/>
    <tableColumn id="3" xr3:uid="{B6E205CE-30A9-452F-B76C-978A83F7418D}" name="Fiscal Year Bid" dataDxfId="127" totalsRowDxfId="126"/>
    <tableColumn id="5" xr3:uid="{3CD380CA-947F-4D75-8A36-81FDC2C96236}" name="Construction Start Date" dataDxfId="125" totalsRowDxfId="124"/>
    <tableColumn id="6" xr3:uid="{2F6D7CAB-B1E9-4A4A-A487-D1335FE8CBE5}" name="Construction Completion Date" dataDxfId="123" totalsRowDxfId="122"/>
    <tableColumn id="34" xr3:uid="{1E2C1631-8CF8-4CFF-AACB-BBA83405DBAA}" name="Fiscal Year Construction Completed" dataDxfId="121" totalsRowDxfId="120"/>
    <tableColumn id="16" xr3:uid="{D1BA7551-24D4-44F4-8C63-26DDE9847F95}" name="Planned Construction Completion Date" dataDxfId="119" totalsRowDxfId="118"/>
    <tableColumn id="7" xr3:uid="{3E463BA2-4399-49DC-BAAD-865F14FD8215}" name="Inspector" dataDxfId="117" totalsRowDxfId="116"/>
    <tableColumn id="9" xr3:uid="{DC2FA636-98A1-47C4-B00C-614C66FB3E55}" name="COA Project Engineer" dataDxfId="115" totalsRowDxfId="114"/>
    <tableColumn id="10" xr3:uid="{03C0D7AD-6DF1-4A99-A6F7-A74E6BD098F8}" name="Contractor" dataDxfId="113" totalsRowDxfId="112"/>
    <tableColumn id="11" xr3:uid="{56F4E643-E8CF-40CA-A7BF-5B774B2F064C}" name="Additional Funding" dataDxfId="111" totalsRowDxfId="110"/>
    <tableColumn id="36" xr3:uid="{8D4F7E50-62AE-40BA-BFB6-866FC5C0FC7C}" name="MPO STBG Funds" dataDxfId="109" totalsRowDxfId="108"/>
    <tableColumn id="13" xr3:uid="{82A8DEE2-F2D7-4FAE-BDA8-6F97F2E5C38A}" name="Engineer's Est" dataDxfId="107" totalsRowDxfId="106" dataCellStyle="Currency"/>
    <tableColumn id="14" xr3:uid="{BAECBD3C-D4BC-450D-906F-55BF9533615E}" name="Bid Amount" dataDxfId="105" totalsRowDxfId="104" dataCellStyle="Currency"/>
    <tableColumn id="37" xr3:uid="{26337C07-C89C-4C8A-BE37-5230F16172F1}" name="Construction Change Orders" dataDxfId="103" totalsRowDxfId="102" dataCellStyle="Currency"/>
    <tableColumn id="39" xr3:uid="{06CA4CD4-65DE-49D0-88E6-03023D29A979}" name="Anticipated Costs Unincombered" dataDxfId="101" totalsRowDxfId="100" dataCellStyle="Currency"/>
    <tableColumn id="15" xr3:uid="{38A7B1E6-8B13-4DDB-867A-A748F1B4D0B2}" name="Final Construction Costs" dataDxfId="99" totalsRowDxfId="98" dataCellStyle="Currency"/>
    <tableColumn id="4" xr3:uid="{11E70268-A3F7-4B6B-9EE9-25F3EB95C06A}" name="Estimated COA_x000a_Engineering / _x000a_Admin" dataDxfId="97" totalsRowDxfId="96" dataCellStyle="Currency"/>
    <tableColumn id="32" xr3:uid="{35BFC548-E6A6-4CB6-AB72-A87FEAD754C4}" name="Actual COA Engineering / Admin" dataDxfId="95" totalsRowDxfId="94" dataCellStyle="Currency"/>
    <tableColumn id="29" xr3:uid="{C718FE2C-C0F5-475D-A338-0A5E10C1942E}" name="Total Anticipated Costs (PSA+Est+COA Est)" dataDxfId="93" totalsRowDxfId="92" dataCellStyle="Currency">
      <calculatedColumnFormula>Project_List[[#This Row],[Professional Service Agreement (PSA) Amount]]+Project_List[[#This Row],[Engineer''s Est]]+Project_List[[#This Row],[Estimated COA
Engineering / 
Admin]]</calculatedColumnFormula>
    </tableColumn>
    <tableColumn id="30" xr3:uid="{ABEAF1B8-5099-4B82-A1F0-32B0D4022550}" name="Actual Contractual Costs + Estimated COA" dataDxfId="91" totalsRowDxfId="90" dataCellStyle="Currency">
      <calculatedColumnFormula>Project_List[[#This Row],[Professional Service Agreement (PSA) Amount]]+Project_List[[#This Row],[Final Construction Costs]]+Project_List[[#This Row],[Estimated COA
Engineering / 
Admin]]</calculatedColumnFormula>
    </tableColumn>
    <tableColumn id="33" xr3:uid="{1F818E18-4DC8-4CC2-92A8-93F14A5B7D76}" name="Remaining Budget (Budget-Total Antic.)" dataDxfId="89" totalsRowDxfId="88" dataCellStyle="Currency">
      <calculatedColumnFormula>Project_List[[#This Row],[Overall Budget]]-Project_List[[#This Row],[Total Anticipated Costs (PSA+Est+COA Est)]]-Project_List[[#This Row],[Anticipated Costs Unincombered]]</calculatedColumnFormula>
    </tableColumn>
    <tableColumn id="17" xr3:uid="{08BE9375-0466-4B31-AC24-BD64C32D100F}" name="NPDES Permit" dataDxfId="87" totalsRowDxfId="86"/>
    <tableColumn id="8" xr3:uid="{6332E56A-9804-4748-9653-BAE2DC3C2F06}" name="Available Balance (11/04/2025)" dataDxfId="85" totalsRowDxfId="84" dataCellStyle="Currency"/>
    <tableColumn id="35" xr3:uid="{A30B92AD-61AD-4F0A-BC29-F0FD33025A11}" name="RFP" dataDxfId="83" totalsRowDxfId="82" dataCellStyle="Currency"/>
    <tableColumn id="38" xr3:uid="{DDA8C3C5-617D-485F-88CF-CE1A67894A94}" name="Distinct Count" totalsRowFunction="sum" dataDxfId="81" totalsRowDxfId="80">
      <calculatedColumnFormula>COUNTA(_xlfn.UNIQUE(Project_List[[#This Row],[Project Name]]))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C017E26-8923-4C63-B874-81F4ED88AB6D}" name="COA_Journal_Entries" displayName="COA_Journal_Entries" ref="A1:H38" totalsRowShown="0" headerRowDxfId="76">
  <autoFilter ref="A1:H38" xr:uid="{9C017E26-8923-4C63-B874-81F4ED88AB6D}"/>
  <sortState xmlns:xlrd2="http://schemas.microsoft.com/office/spreadsheetml/2017/richdata2" ref="A2:H38">
    <sortCondition ref="A1:A38"/>
  </sortState>
  <tableColumns count="8">
    <tableColumn id="1" xr3:uid="{D4975312-BB5E-4E20-9C2A-511E6C604B41}" name="Fiscal Year Journaled"/>
    <tableColumn id="2" xr3:uid="{697B9F61-4701-40CA-BC10-3677557DF786}" name="Project Name"/>
    <tableColumn id="8" xr3:uid="{2AF33FA3-6BAA-4DEB-81CA-5D994DDE9C34}" name="Fund" dataDxfId="75"/>
    <tableColumn id="3" xr3:uid="{20BFFCC1-1C2B-4B84-A833-1CA181A397CA}" name="Account #"/>
    <tableColumn id="4" xr3:uid="{BE1855FB-91D0-436C-959A-31156E598B85}" name="Journaled this FY" dataDxfId="74" dataCellStyle="Currency"/>
    <tableColumn id="5" xr3:uid="{04D27441-79D9-4F0D-BE25-EAC5B0B661A8}" name="Remaining for next FY" dataCellStyle="Currency"/>
    <tableColumn id="6" xr3:uid="{DDC351ED-B9CB-48F2-B6D9-C406689F619A}" name="Notes"/>
    <tableColumn id="7" xr3:uid="{DE4B0B9B-781F-44D6-9FEB-3E0883B8B9DC}" name="Target 89%" dataDxfId="7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ivotTable" Target="../pivotTables/pivotTable17.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ivotTable" Target="../pivotTables/pivotTable18.xm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ivotTable" Target="../pivotTables/pivotTable19.x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ivotTable" Target="../pivotTables/pivotTable2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4.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5.xml"/><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8.xml"/><Relationship Id="rId2" Type="http://schemas.openxmlformats.org/officeDocument/2006/relationships/pivotTable" Target="../pivotTables/pivotTable7.xml"/><Relationship Id="rId1" Type="http://schemas.openxmlformats.org/officeDocument/2006/relationships/pivotTable" Target="../pivotTables/pivotTable6.xml"/><Relationship Id="rId5" Type="http://schemas.openxmlformats.org/officeDocument/2006/relationships/drawing" Target="../drawings/drawing1.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ivotTable" Target="../pivotTables/pivotTable11.xml"/><Relationship Id="rId2" Type="http://schemas.openxmlformats.org/officeDocument/2006/relationships/pivotTable" Target="../pivotTables/pivotTable10.xml"/><Relationship Id="rId1" Type="http://schemas.openxmlformats.org/officeDocument/2006/relationships/pivotTable" Target="../pivotTables/pivotTable9.xml"/><Relationship Id="rId5" Type="http://schemas.openxmlformats.org/officeDocument/2006/relationships/drawing" Target="../drawings/drawing2.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ivotTable" Target="../pivotTables/pivotTable14.xml"/><Relationship Id="rId2" Type="http://schemas.openxmlformats.org/officeDocument/2006/relationships/pivotTable" Target="../pivotTables/pivotTable13.xml"/><Relationship Id="rId1" Type="http://schemas.openxmlformats.org/officeDocument/2006/relationships/pivotTable" Target="../pivotTables/pivotTable12.xml"/><Relationship Id="rId5" Type="http://schemas.openxmlformats.org/officeDocument/2006/relationships/drawing" Target="../drawings/drawing3.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ivotTable" Target="../pivotTables/pivotTable15.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E00E3-99D1-46CF-B908-03089ACEF261}">
  <sheetPr>
    <pageSetUpPr fitToPage="1"/>
  </sheetPr>
  <dimension ref="A1:DR280"/>
  <sheetViews>
    <sheetView topLeftCell="A8" zoomScaleNormal="100" workbookViewId="0">
      <pane xSplit="1" topLeftCell="B1" activePane="topRight" state="frozen"/>
      <selection pane="topRight" activeCell="AL1" sqref="AL1:AL1048576"/>
    </sheetView>
  </sheetViews>
  <sheetFormatPr defaultColWidth="2.140625" defaultRowHeight="15" x14ac:dyDescent="0.25"/>
  <cols>
    <col min="1" max="2" width="15.7109375" style="1" customWidth="1"/>
    <col min="3" max="3" width="17.7109375" style="1" customWidth="1"/>
    <col min="4" max="5" width="15.7109375" style="1" customWidth="1"/>
    <col min="6" max="6" width="27.28515625" style="1" customWidth="1"/>
    <col min="7" max="7" width="42.140625" style="1" customWidth="1"/>
    <col min="8" max="9" width="15.7109375" style="32" customWidth="1"/>
    <col min="10" max="10" width="19.28515625" style="1" customWidth="1"/>
    <col min="11" max="11" width="15.7109375" style="32" customWidth="1"/>
    <col min="12" max="12" width="18.7109375" style="1" customWidth="1"/>
    <col min="13" max="15" width="15.7109375" style="1" customWidth="1"/>
    <col min="16" max="16" width="18" style="1" customWidth="1"/>
    <col min="17" max="17" width="18.42578125" style="1" customWidth="1"/>
    <col min="18" max="18" width="18.140625" style="1" customWidth="1"/>
    <col min="19" max="19" width="18" style="1" customWidth="1"/>
    <col min="20" max="21" width="15.7109375" style="32" customWidth="1"/>
    <col min="22" max="24" width="15.7109375" style="1" customWidth="1"/>
    <col min="25" max="25" width="15.7109375" style="32" customWidth="1"/>
    <col min="26" max="26" width="15.7109375" style="1" customWidth="1"/>
    <col min="27" max="27" width="21.140625" style="1" customWidth="1"/>
    <col min="28" max="28" width="20.42578125" style="79" customWidth="1"/>
    <col min="29" max="29" width="18.7109375" style="1" customWidth="1"/>
    <col min="30" max="30" width="18.140625" style="2" customWidth="1"/>
    <col min="31" max="31" width="15.7109375" style="2" customWidth="1"/>
    <col min="32" max="32" width="21.7109375" style="1" customWidth="1"/>
    <col min="33" max="33" width="15.7109375" style="1" customWidth="1"/>
    <col min="34" max="34" width="17.5703125" style="1" customWidth="1"/>
    <col min="35" max="36" width="15.7109375" style="1" customWidth="1"/>
    <col min="37" max="37" width="8.28515625" style="1" customWidth="1"/>
    <col min="38" max="38" width="10.85546875" style="1" customWidth="1"/>
    <col min="39" max="16384" width="2.140625" style="1"/>
  </cols>
  <sheetData>
    <row r="1" spans="1:122" ht="105" x14ac:dyDescent="0.35">
      <c r="A1" s="7" t="s">
        <v>59</v>
      </c>
      <c r="B1" s="7" t="s">
        <v>135</v>
      </c>
      <c r="C1" s="7" t="s">
        <v>89</v>
      </c>
      <c r="D1" s="7" t="s">
        <v>70</v>
      </c>
      <c r="E1" s="7" t="s">
        <v>65</v>
      </c>
      <c r="F1" s="7" t="s">
        <v>542</v>
      </c>
      <c r="G1" s="7" t="s">
        <v>385</v>
      </c>
      <c r="H1" s="7" t="s">
        <v>47</v>
      </c>
      <c r="I1" s="9" t="s">
        <v>50</v>
      </c>
      <c r="J1" s="7" t="s">
        <v>130</v>
      </c>
      <c r="K1" s="7" t="s">
        <v>44</v>
      </c>
      <c r="L1" s="9" t="s">
        <v>160</v>
      </c>
      <c r="M1" s="9" t="s">
        <v>159</v>
      </c>
      <c r="N1" s="9" t="s">
        <v>215</v>
      </c>
      <c r="O1" s="9" t="s">
        <v>244</v>
      </c>
      <c r="P1" s="35" t="s">
        <v>37</v>
      </c>
      <c r="Q1" s="35" t="s">
        <v>38</v>
      </c>
      <c r="R1" s="35" t="s">
        <v>340</v>
      </c>
      <c r="S1" s="35" t="s">
        <v>41</v>
      </c>
      <c r="T1" s="7" t="s">
        <v>31</v>
      </c>
      <c r="U1" s="7" t="s">
        <v>416</v>
      </c>
      <c r="V1" s="7" t="s">
        <v>32</v>
      </c>
      <c r="W1" s="7" t="s">
        <v>407</v>
      </c>
      <c r="X1" s="7" t="s">
        <v>384</v>
      </c>
      <c r="Y1" s="9" t="s">
        <v>39</v>
      </c>
      <c r="Z1" s="9" t="s">
        <v>40</v>
      </c>
      <c r="AA1" s="9" t="s">
        <v>455</v>
      </c>
      <c r="AB1" s="75" t="s">
        <v>446</v>
      </c>
      <c r="AC1" s="9" t="s">
        <v>43</v>
      </c>
      <c r="AD1" s="9" t="s">
        <v>350</v>
      </c>
      <c r="AE1" s="9" t="s">
        <v>351</v>
      </c>
      <c r="AF1" s="9" t="s">
        <v>457</v>
      </c>
      <c r="AG1" s="9" t="s">
        <v>352</v>
      </c>
      <c r="AH1" s="9" t="s">
        <v>458</v>
      </c>
      <c r="AI1" s="7" t="s">
        <v>42</v>
      </c>
      <c r="AJ1" s="35" t="s">
        <v>572</v>
      </c>
      <c r="AK1" s="35" t="s">
        <v>374</v>
      </c>
      <c r="AL1" s="56" t="s">
        <v>396</v>
      </c>
    </row>
    <row r="2" spans="1:122" s="39" customFormat="1" ht="30" x14ac:dyDescent="0.25">
      <c r="A2" s="1" t="s">
        <v>250</v>
      </c>
      <c r="B2" s="1">
        <v>520</v>
      </c>
      <c r="C2" s="2" t="str">
        <f>LOOKUP(Project_List[[#This Row],[Fund No.]],'Code Lookup'!A$9:A$53,'Code Lookup'!B$9:B$53)</f>
        <v>Sewer Utility</v>
      </c>
      <c r="D2" s="1" t="s">
        <v>322</v>
      </c>
      <c r="E2" s="1" t="s">
        <v>67</v>
      </c>
      <c r="F2" s="18" t="s">
        <v>133</v>
      </c>
      <c r="G2" s="1" t="s">
        <v>139</v>
      </c>
      <c r="H2" s="1" t="s">
        <v>49</v>
      </c>
      <c r="I2" s="36"/>
      <c r="J2" s="1">
        <v>58661</v>
      </c>
      <c r="K2" s="1" t="s">
        <v>16</v>
      </c>
      <c r="L2" s="14">
        <v>86700</v>
      </c>
      <c r="M2" s="14"/>
      <c r="N2" s="1" t="s">
        <v>252</v>
      </c>
      <c r="O2" s="1" t="s">
        <v>253</v>
      </c>
      <c r="P2" s="37">
        <v>44187</v>
      </c>
      <c r="Q2" s="37">
        <v>44593</v>
      </c>
      <c r="R2" s="37" t="s">
        <v>254</v>
      </c>
      <c r="S2" s="37">
        <v>44561</v>
      </c>
      <c r="T2" s="1" t="s">
        <v>16</v>
      </c>
      <c r="U2" s="1" t="s">
        <v>0</v>
      </c>
      <c r="V2" s="1" t="s">
        <v>33</v>
      </c>
      <c r="W2" s="1" t="s">
        <v>10</v>
      </c>
      <c r="X2" s="1" t="s">
        <v>10</v>
      </c>
      <c r="Y2" s="13">
        <v>900000</v>
      </c>
      <c r="Z2" s="13">
        <v>1440778</v>
      </c>
      <c r="AA2" s="13"/>
      <c r="AB2" s="76"/>
      <c r="AC2" s="14">
        <v>1409307.8</v>
      </c>
      <c r="AD2" s="14"/>
      <c r="AE2" s="14"/>
      <c r="AF2" s="14">
        <f>Project_List[[#This Row],[Professional Service Agreement (PSA) Amount]]+Project_List[[#This Row],[Engineer''s Est]]+Project_List[[#This Row],[Estimated COA
Engineering / 
Admin]]</f>
        <v>986700</v>
      </c>
      <c r="AG2" s="13">
        <f>Project_List[[#This Row],[Professional Service Agreement (PSA) Amount]]+Project_List[[#This Row],[Final Construction Costs]]+Project_List[[#This Row],[Estimated COA
Engineering / 
Admin]]</f>
        <v>1496007.8</v>
      </c>
      <c r="AH2" s="13">
        <f>Project_List[[#This Row],[Overall Budget]]-Project_List[[#This Row],[Total Anticipated Costs (PSA+Est+COA Est)]]-Project_List[[#This Row],[Anticipated Costs Unincombered]]</f>
        <v>-986700</v>
      </c>
      <c r="AI2" s="89" t="s">
        <v>10</v>
      </c>
      <c r="AJ2" s="36"/>
      <c r="AK2" s="36" t="s">
        <v>10</v>
      </c>
      <c r="AL2" s="2">
        <v>1</v>
      </c>
      <c r="AM2" s="2"/>
      <c r="AN2" s="2"/>
      <c r="AO2" s="2"/>
      <c r="AP2" s="2"/>
      <c r="AQ2" s="2"/>
      <c r="AR2" s="2"/>
      <c r="AS2" s="2"/>
      <c r="AT2" s="2"/>
      <c r="AU2" s="2"/>
      <c r="AV2" s="2"/>
      <c r="AW2" s="38"/>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row>
    <row r="3" spans="1:122" ht="30" x14ac:dyDescent="0.25">
      <c r="A3" s="1" t="s">
        <v>251</v>
      </c>
      <c r="B3" s="1">
        <v>560</v>
      </c>
      <c r="C3" s="28" t="str">
        <f>LOOKUP(Project_List[[#This Row],[Fund No.]],'Code Lookup'!A$9:A$53,'Code Lookup'!B$9:B$53)</f>
        <v>Stormwater Utility</v>
      </c>
      <c r="D3" s="1" t="s">
        <v>68</v>
      </c>
      <c r="E3" s="28" t="s">
        <v>366</v>
      </c>
      <c r="F3" s="1" t="s">
        <v>202</v>
      </c>
      <c r="G3" s="1" t="s">
        <v>365</v>
      </c>
      <c r="H3" s="32" t="s">
        <v>36</v>
      </c>
      <c r="I3" s="32">
        <v>654000</v>
      </c>
      <c r="J3" s="28"/>
      <c r="K3" s="8"/>
      <c r="L3" s="21"/>
      <c r="M3" s="23"/>
      <c r="P3" s="37"/>
      <c r="Q3" s="37"/>
      <c r="R3" s="37"/>
      <c r="S3" s="37"/>
      <c r="X3" s="28"/>
      <c r="Y3" s="13"/>
      <c r="Z3" s="13"/>
      <c r="AA3" s="13"/>
      <c r="AB3" s="76"/>
      <c r="AC3" s="14"/>
      <c r="AD3" s="14"/>
      <c r="AE3" s="14"/>
      <c r="AF3" s="14">
        <v>0</v>
      </c>
      <c r="AG3" s="14">
        <v>0</v>
      </c>
      <c r="AH3" s="13">
        <f>Project_List[[#This Row],[Overall Budget]]-Project_List[[#This Row],[Total Anticipated Costs (PSA+Est+COA Est)]]-Project_List[[#This Row],[Anticipated Costs Unincombered]]</f>
        <v>654000</v>
      </c>
      <c r="AJ3" s="42">
        <v>628400</v>
      </c>
      <c r="AK3" s="36" t="s">
        <v>13</v>
      </c>
      <c r="AL3" s="1">
        <f>COUNTA(_xlfn.UNIQUE(Project_List[[#This Row],[Project Name]]))</f>
        <v>1</v>
      </c>
      <c r="AW3" s="41"/>
    </row>
    <row r="4" spans="1:122" ht="30" x14ac:dyDescent="0.25">
      <c r="A4" s="1" t="s">
        <v>251</v>
      </c>
      <c r="B4" s="1">
        <v>560</v>
      </c>
      <c r="C4" s="27" t="str">
        <f>LOOKUP(Project_List[[#This Row],[Fund No.]],'Code Lookup'!A$9:A$53,'Code Lookup'!B$9:B$53)</f>
        <v>Stormwater Utility</v>
      </c>
      <c r="D4" s="1" t="s">
        <v>68</v>
      </c>
      <c r="E4" s="27" t="s">
        <v>69</v>
      </c>
      <c r="F4" s="18" t="s">
        <v>198</v>
      </c>
      <c r="G4" s="1" t="s">
        <v>136</v>
      </c>
      <c r="H4" s="1" t="s">
        <v>49</v>
      </c>
      <c r="I4" s="36">
        <v>195970</v>
      </c>
      <c r="J4" s="28">
        <v>63108</v>
      </c>
      <c r="K4" s="1" t="s">
        <v>16</v>
      </c>
      <c r="L4" s="14">
        <v>0</v>
      </c>
      <c r="M4" s="14">
        <v>0</v>
      </c>
      <c r="N4" s="1" t="s">
        <v>256</v>
      </c>
      <c r="O4" s="1" t="s">
        <v>256</v>
      </c>
      <c r="P4" s="37">
        <v>45427</v>
      </c>
      <c r="Q4" s="37">
        <v>45626</v>
      </c>
      <c r="R4" s="37" t="s">
        <v>257</v>
      </c>
      <c r="S4" s="37">
        <v>45870</v>
      </c>
      <c r="T4" s="1" t="s">
        <v>11</v>
      </c>
      <c r="U4" s="1" t="s">
        <v>0</v>
      </c>
      <c r="V4" s="1" t="s">
        <v>456</v>
      </c>
      <c r="W4" s="1" t="s">
        <v>10</v>
      </c>
      <c r="X4" s="1" t="s">
        <v>10</v>
      </c>
      <c r="Y4" s="13">
        <v>182110.5</v>
      </c>
      <c r="Z4" s="13">
        <v>194388.1</v>
      </c>
      <c r="AA4" s="13"/>
      <c r="AB4" s="76"/>
      <c r="AC4" s="14">
        <v>160643</v>
      </c>
      <c r="AD4" s="14"/>
      <c r="AE4" s="14"/>
      <c r="AF4" s="14">
        <f>Project_List[[#This Row],[Professional Service Agreement (PSA) Amount]]+Project_List[[#This Row],[Engineer''s Est]]+Project_List[[#This Row],[Estimated COA
Engineering / 
Admin]]</f>
        <v>182110.5</v>
      </c>
      <c r="AG4" s="13">
        <f>Project_List[[#This Row],[Professional Service Agreement (PSA) Amount]]+Project_List[[#This Row],[Final Construction Costs]]+Project_List[[#This Row],[Estimated COA
Engineering / 
Admin]]</f>
        <v>160643</v>
      </c>
      <c r="AH4" s="13">
        <f>Project_List[[#This Row],[Overall Budget]]-Project_List[[#This Row],[Total Anticipated Costs (PSA+Est+COA Est)]]-Project_List[[#This Row],[Anticipated Costs Unincombered]]</f>
        <v>13859.5</v>
      </c>
      <c r="AI4" s="1" t="s">
        <v>10</v>
      </c>
      <c r="AJ4" s="40">
        <v>0</v>
      </c>
      <c r="AK4" s="32" t="s">
        <v>10</v>
      </c>
      <c r="AL4" s="1">
        <v>1</v>
      </c>
      <c r="AW4" s="41"/>
    </row>
    <row r="5" spans="1:122" ht="90" x14ac:dyDescent="0.25">
      <c r="A5" s="1" t="s">
        <v>252</v>
      </c>
      <c r="B5" s="1">
        <v>380</v>
      </c>
      <c r="C5" s="2" t="str">
        <f>LOOKUP(Project_List[[#This Row],[Fund No.]],'Code Lookup'!A$9:A$53,'Code Lookup'!B$9:B$53)</f>
        <v>2019/20 GO Bonds</v>
      </c>
      <c r="D5" s="1" t="s">
        <v>30</v>
      </c>
      <c r="E5" s="1" t="s">
        <v>158</v>
      </c>
      <c r="F5" s="18" t="s">
        <v>60</v>
      </c>
      <c r="G5" s="1" t="s">
        <v>394</v>
      </c>
      <c r="H5" s="1" t="s">
        <v>49</v>
      </c>
      <c r="I5" s="36"/>
      <c r="J5" s="1">
        <v>59264</v>
      </c>
      <c r="K5" s="1" t="s">
        <v>29</v>
      </c>
      <c r="L5" s="14">
        <v>0</v>
      </c>
      <c r="M5" s="14"/>
      <c r="N5" s="1" t="s">
        <v>253</v>
      </c>
      <c r="O5" s="1" t="s">
        <v>253</v>
      </c>
      <c r="P5" s="37">
        <v>44317</v>
      </c>
      <c r="Q5" s="37">
        <v>44952</v>
      </c>
      <c r="R5" s="37" t="s">
        <v>255</v>
      </c>
      <c r="S5" s="18" t="s">
        <v>249</v>
      </c>
      <c r="T5" s="1" t="s">
        <v>14</v>
      </c>
      <c r="U5" s="1" t="s">
        <v>0</v>
      </c>
      <c r="V5" s="1" t="s">
        <v>18</v>
      </c>
      <c r="W5" s="1" t="s">
        <v>10</v>
      </c>
      <c r="X5" s="28" t="s">
        <v>10</v>
      </c>
      <c r="Y5" s="13">
        <v>2203927.0299999998</v>
      </c>
      <c r="Z5" s="13">
        <v>1571889.4</v>
      </c>
      <c r="AA5" s="13"/>
      <c r="AB5" s="76"/>
      <c r="AC5" s="14">
        <v>1583919.49</v>
      </c>
      <c r="AD5" s="14"/>
      <c r="AE5" s="14"/>
      <c r="AF5" s="14">
        <f>Project_List[[#This Row],[Professional Service Agreement (PSA) Amount]]+Project_List[[#This Row],[Engineer''s Est]]+Project_List[[#This Row],[Estimated COA
Engineering / 
Admin]]</f>
        <v>2203927.0299999998</v>
      </c>
      <c r="AG5" s="13">
        <f>Project_List[[#This Row],[Professional Service Agreement (PSA) Amount]]+Project_List[[#This Row],[Final Construction Costs]]+Project_List[[#This Row],[Estimated COA
Engineering / 
Admin]]</f>
        <v>1583919.49</v>
      </c>
      <c r="AH5" s="13">
        <f>Project_List[[#This Row],[Overall Budget]]-Project_List[[#This Row],[Total Anticipated Costs (PSA+Est+COA Est)]]-Project_List[[#This Row],[Anticipated Costs Unincombered]]</f>
        <v>-2203927.0299999998</v>
      </c>
      <c r="AI5" s="1" t="s">
        <v>10</v>
      </c>
      <c r="AJ5" s="36">
        <v>0</v>
      </c>
      <c r="AK5" s="36" t="s">
        <v>10</v>
      </c>
      <c r="AL5" s="1">
        <v>1</v>
      </c>
      <c r="AW5" s="41"/>
    </row>
    <row r="6" spans="1:122" ht="30" x14ac:dyDescent="0.25">
      <c r="A6" s="43" t="s">
        <v>252</v>
      </c>
      <c r="B6" s="1">
        <v>520</v>
      </c>
      <c r="C6" s="2" t="str">
        <f>LOOKUP(Project_List[[#This Row],[Fund No.]],'Code Lookup'!A$9:A$53,'Code Lookup'!B$9:B$53)</f>
        <v>Sewer Utility</v>
      </c>
      <c r="D6" s="1" t="s">
        <v>322</v>
      </c>
      <c r="E6" s="1" t="s">
        <v>67</v>
      </c>
      <c r="F6" s="18" t="s">
        <v>133</v>
      </c>
      <c r="G6" s="1" t="s">
        <v>138</v>
      </c>
      <c r="H6" s="1" t="s">
        <v>49</v>
      </c>
      <c r="I6" s="36"/>
      <c r="J6" s="1" t="s">
        <v>51</v>
      </c>
      <c r="K6" s="1" t="s">
        <v>16</v>
      </c>
      <c r="L6" s="14">
        <f>48000+27000</f>
        <v>75000</v>
      </c>
      <c r="M6" s="14"/>
      <c r="N6" s="1" t="s">
        <v>253</v>
      </c>
      <c r="O6" s="1" t="s">
        <v>253</v>
      </c>
      <c r="P6" s="37">
        <v>44682</v>
      </c>
      <c r="Q6" s="37">
        <v>44944</v>
      </c>
      <c r="R6" s="37" t="s">
        <v>255</v>
      </c>
      <c r="S6" s="37">
        <v>44944</v>
      </c>
      <c r="T6" s="1" t="s">
        <v>16</v>
      </c>
      <c r="U6" s="1" t="s">
        <v>0</v>
      </c>
      <c r="V6" s="1" t="s">
        <v>28</v>
      </c>
      <c r="W6" s="1" t="s">
        <v>10</v>
      </c>
      <c r="X6" s="1" t="s">
        <v>10</v>
      </c>
      <c r="Y6" s="13">
        <f>1400315+535000</f>
        <v>1935315</v>
      </c>
      <c r="Z6" s="13">
        <v>1283163.75</v>
      </c>
      <c r="AA6" s="13"/>
      <c r="AB6" s="76"/>
      <c r="AC6" s="14">
        <v>814323.71</v>
      </c>
      <c r="AD6" s="34"/>
      <c r="AE6" s="34"/>
      <c r="AF6" s="14">
        <f>Project_List[[#This Row],[Professional Service Agreement (PSA) Amount]]+Project_List[[#This Row],[Engineer''s Est]]+Project_List[[#This Row],[Estimated COA
Engineering / 
Admin]]</f>
        <v>2010315</v>
      </c>
      <c r="AG6" s="13">
        <f>Project_List[[#This Row],[Professional Service Agreement (PSA) Amount]]+Project_List[[#This Row],[Final Construction Costs]]+Project_List[[#This Row],[Estimated COA
Engineering / 
Admin]]</f>
        <v>889323.71</v>
      </c>
      <c r="AH6" s="13">
        <f>Project_List[[#This Row],[Overall Budget]]-Project_List[[#This Row],[Total Anticipated Costs (PSA+Est+COA Est)]]-Project_List[[#This Row],[Anticipated Costs Unincombered]]</f>
        <v>-2010315</v>
      </c>
      <c r="AI6" s="1" t="s">
        <v>10</v>
      </c>
      <c r="AJ6" s="36"/>
      <c r="AK6" s="36" t="s">
        <v>10</v>
      </c>
      <c r="AL6" s="1">
        <v>1</v>
      </c>
      <c r="AW6" s="41"/>
    </row>
    <row r="7" spans="1:122" ht="30" x14ac:dyDescent="0.25">
      <c r="A7" s="1" t="s">
        <v>252</v>
      </c>
      <c r="B7" s="1">
        <v>560</v>
      </c>
      <c r="C7" s="27" t="str">
        <f>LOOKUP(Project_List[[#This Row],[Fund No.]],'Code Lookup'!A$9:A$53,'Code Lookup'!B$9:B$53)</f>
        <v>Stormwater Utility</v>
      </c>
      <c r="D7" s="1" t="s">
        <v>68</v>
      </c>
      <c r="E7" s="28" t="s">
        <v>85</v>
      </c>
      <c r="F7" s="18" t="s">
        <v>202</v>
      </c>
      <c r="G7" s="1" t="s">
        <v>137</v>
      </c>
      <c r="H7" s="1" t="s">
        <v>48</v>
      </c>
      <c r="I7" s="36">
        <f>432000+736000+90000</f>
        <v>1258000</v>
      </c>
      <c r="J7" s="28">
        <v>64278</v>
      </c>
      <c r="K7" s="1" t="s">
        <v>16</v>
      </c>
      <c r="L7" s="14">
        <f>58820+46900+20600</f>
        <v>126320</v>
      </c>
      <c r="M7" s="14"/>
      <c r="N7" s="1" t="s">
        <v>257</v>
      </c>
      <c r="O7" s="1" t="s">
        <v>257</v>
      </c>
      <c r="P7" s="37">
        <v>45824</v>
      </c>
      <c r="Q7" s="37"/>
      <c r="R7" s="37" t="s">
        <v>273</v>
      </c>
      <c r="S7" s="37">
        <v>46022</v>
      </c>
      <c r="T7" s="1" t="s">
        <v>1</v>
      </c>
      <c r="U7" s="1" t="s">
        <v>23</v>
      </c>
      <c r="V7" s="1" t="s">
        <v>454</v>
      </c>
      <c r="X7" s="28" t="s">
        <v>10</v>
      </c>
      <c r="Y7" s="13">
        <f>1549153+97600+212200-900000</f>
        <v>958953</v>
      </c>
      <c r="Z7" s="13">
        <v>787433</v>
      </c>
      <c r="AA7" s="13"/>
      <c r="AB7" s="76"/>
      <c r="AC7" s="14"/>
      <c r="AD7" s="34">
        <f>250000-Project_List[[#This Row],[Professional Service Agreement (PSA) Amount]]</f>
        <v>123680</v>
      </c>
      <c r="AE7" s="34"/>
      <c r="AF7" s="14">
        <f>Project_List[[#This Row],[Professional Service Agreement (PSA) Amount]]+Project_List[[#This Row],[Engineer''s Est]]+Project_List[[#This Row],[Estimated COA
Engineering / 
Admin]]</f>
        <v>1208953</v>
      </c>
      <c r="AG7" s="13">
        <f>Project_List[[#This Row],[Professional Service Agreement (PSA) Amount]]+Project_List[[#This Row],[Final Construction Costs]]+Project_List[[#This Row],[Estimated COA
Engineering / 
Admin]]</f>
        <v>250000</v>
      </c>
      <c r="AH7" s="13">
        <f>Project_List[[#This Row],[Overall Budget]]-Project_List[[#This Row],[Total Anticipated Costs (PSA+Est+COA Est)]]-Project_List[[#This Row],[Anticipated Costs Unincombered]]</f>
        <v>49047</v>
      </c>
      <c r="AI7" s="1" t="s">
        <v>13</v>
      </c>
      <c r="AJ7" s="42">
        <v>196926</v>
      </c>
      <c r="AK7" s="36" t="s">
        <v>10</v>
      </c>
      <c r="AL7" s="1">
        <v>0</v>
      </c>
      <c r="AW7" s="41"/>
    </row>
    <row r="8" spans="1:122" ht="30" x14ac:dyDescent="0.25">
      <c r="A8" s="1" t="s">
        <v>252</v>
      </c>
      <c r="B8" s="1">
        <v>561</v>
      </c>
      <c r="C8" s="27" t="str">
        <f>LOOKUP(Project_List[[#This Row],[Fund No.]],'Code Lookup'!A$9:A$53,'Code Lookup'!B$9:B$53)</f>
        <v>Stormwater Improvements</v>
      </c>
      <c r="D8" s="1" t="s">
        <v>68</v>
      </c>
      <c r="E8" s="28" t="s">
        <v>367</v>
      </c>
      <c r="F8" s="18" t="s">
        <v>202</v>
      </c>
      <c r="G8" s="1" t="s">
        <v>137</v>
      </c>
      <c r="H8" s="1" t="s">
        <v>48</v>
      </c>
      <c r="I8" s="36">
        <f>300000+100000+500000</f>
        <v>900000</v>
      </c>
      <c r="J8" s="28">
        <v>64278</v>
      </c>
      <c r="K8" s="1" t="s">
        <v>16</v>
      </c>
      <c r="L8" s="22">
        <v>0</v>
      </c>
      <c r="M8" s="14">
        <v>0</v>
      </c>
      <c r="N8" s="1" t="s">
        <v>257</v>
      </c>
      <c r="O8" s="1" t="s">
        <v>257</v>
      </c>
      <c r="P8" s="37">
        <v>45824</v>
      </c>
      <c r="Q8" s="37"/>
      <c r="R8" s="37" t="s">
        <v>273</v>
      </c>
      <c r="S8" s="37">
        <v>46022</v>
      </c>
      <c r="T8" s="1" t="s">
        <v>1</v>
      </c>
      <c r="U8" s="1" t="s">
        <v>23</v>
      </c>
      <c r="V8" s="1" t="s">
        <v>454</v>
      </c>
      <c r="X8" s="1" t="s">
        <v>10</v>
      </c>
      <c r="Y8" s="13">
        <v>900000</v>
      </c>
      <c r="Z8" s="13">
        <v>900000</v>
      </c>
      <c r="AA8" s="13">
        <v>0</v>
      </c>
      <c r="AB8" s="76">
        <v>0</v>
      </c>
      <c r="AC8" s="14">
        <v>900000</v>
      </c>
      <c r="AD8" s="34">
        <v>0</v>
      </c>
      <c r="AE8" s="34">
        <v>0</v>
      </c>
      <c r="AF8" s="14">
        <f>Project_List[[#This Row],[Professional Service Agreement (PSA) Amount]]+Project_List[[#This Row],[Engineer''s Est]]+Project_List[[#This Row],[Estimated COA
Engineering / 
Admin]]</f>
        <v>900000</v>
      </c>
      <c r="AG8" s="13">
        <f>Project_List[[#This Row],[Professional Service Agreement (PSA) Amount]]+Project_List[[#This Row],[Final Construction Costs]]+Project_List[[#This Row],[Estimated COA
Engineering / 
Admin]]</f>
        <v>900000</v>
      </c>
      <c r="AH8" s="13">
        <f>Project_List[[#This Row],[Overall Budget]]-Project_List[[#This Row],[Total Anticipated Costs (PSA+Est+COA Est)]]-Project_List[[#This Row],[Anticipated Costs Unincombered]]</f>
        <v>0</v>
      </c>
      <c r="AJ8" s="42">
        <v>0</v>
      </c>
      <c r="AK8" s="36" t="s">
        <v>10</v>
      </c>
      <c r="AL8" s="1">
        <v>1</v>
      </c>
      <c r="AW8" s="41"/>
    </row>
    <row r="9" spans="1:122" ht="30" x14ac:dyDescent="0.25">
      <c r="A9" s="1" t="s">
        <v>253</v>
      </c>
      <c r="B9" s="6">
        <v>122</v>
      </c>
      <c r="C9" s="27" t="str">
        <f>LOOKUP(Project_List[[#This Row],[Fund No.]],'Code Lookup'!A$9:A$53,'Code Lookup'!B$9:B$53)</f>
        <v>American Rescue Plan</v>
      </c>
      <c r="D9" s="6" t="s">
        <v>322</v>
      </c>
      <c r="E9" s="29" t="s">
        <v>230</v>
      </c>
      <c r="F9" s="19" t="s">
        <v>62</v>
      </c>
      <c r="G9" s="6" t="s">
        <v>413</v>
      </c>
      <c r="H9" s="1" t="s">
        <v>49</v>
      </c>
      <c r="J9" s="28">
        <v>59817</v>
      </c>
      <c r="K9" s="1" t="s">
        <v>46</v>
      </c>
      <c r="L9" s="13">
        <v>0</v>
      </c>
      <c r="M9" s="13">
        <v>0</v>
      </c>
      <c r="N9" s="1" t="s">
        <v>253</v>
      </c>
      <c r="O9" s="1" t="s">
        <v>253</v>
      </c>
      <c r="P9" s="37">
        <v>44501</v>
      </c>
      <c r="Q9" s="37">
        <v>45078</v>
      </c>
      <c r="R9" s="37" t="s">
        <v>257</v>
      </c>
      <c r="S9" s="37">
        <v>45078</v>
      </c>
      <c r="T9" s="1" t="s">
        <v>3</v>
      </c>
      <c r="U9" s="1" t="s">
        <v>4</v>
      </c>
      <c r="V9" s="1" t="s">
        <v>5</v>
      </c>
      <c r="W9" s="1" t="s">
        <v>6</v>
      </c>
      <c r="X9" s="28" t="s">
        <v>10</v>
      </c>
      <c r="Y9" s="13">
        <v>2691023.83</v>
      </c>
      <c r="Z9" s="13">
        <v>2988836</v>
      </c>
      <c r="AA9" s="13"/>
      <c r="AB9" s="76"/>
      <c r="AC9" s="13">
        <v>1225735</v>
      </c>
      <c r="AD9" s="13"/>
      <c r="AE9" s="13"/>
      <c r="AF9" s="13">
        <f>Project_List[[#This Row],[Professional Service Agreement (PSA) Amount]]+Project_List[[#This Row],[Engineer''s Est]]+Project_List[[#This Row],[Estimated COA
Engineering / 
Admin]]</f>
        <v>2691023.83</v>
      </c>
      <c r="AG9" s="13">
        <f>Project_List[[#This Row],[Professional Service Agreement (PSA) Amount]]+Project_List[[#This Row],[Final Construction Costs]]+Project_List[[#This Row],[Estimated COA
Engineering / 
Admin]]</f>
        <v>1225735</v>
      </c>
      <c r="AH9" s="13">
        <f>Project_List[[#This Row],[Overall Budget]]-Project_List[[#This Row],[Total Anticipated Costs (PSA+Est+COA Est)]]-Project_List[[#This Row],[Anticipated Costs Unincombered]]</f>
        <v>-2691023.83</v>
      </c>
      <c r="AI9" s="1" t="s">
        <v>13</v>
      </c>
      <c r="AJ9" s="40">
        <v>0</v>
      </c>
      <c r="AK9" s="36" t="s">
        <v>13</v>
      </c>
      <c r="AL9" s="1">
        <v>1</v>
      </c>
      <c r="AW9" s="41"/>
    </row>
    <row r="10" spans="1:122" ht="30" x14ac:dyDescent="0.25">
      <c r="A10" s="1" t="s">
        <v>253</v>
      </c>
      <c r="B10" s="6">
        <v>122</v>
      </c>
      <c r="C10" s="2" t="str">
        <f>LOOKUP(Project_List[[#This Row],[Fund No.]],'Code Lookup'!A$9:A$53,'Code Lookup'!B$9:B$53)</f>
        <v>American Rescue Plan</v>
      </c>
      <c r="D10" s="6" t="s">
        <v>322</v>
      </c>
      <c r="E10" s="6" t="s">
        <v>232</v>
      </c>
      <c r="F10" s="19" t="s">
        <v>62</v>
      </c>
      <c r="G10" s="6" t="s">
        <v>413</v>
      </c>
      <c r="H10" s="1" t="s">
        <v>49</v>
      </c>
      <c r="I10" s="32">
        <v>86751</v>
      </c>
      <c r="J10" s="1">
        <v>59817</v>
      </c>
      <c r="K10" s="2" t="s">
        <v>46</v>
      </c>
      <c r="L10" s="12">
        <v>0</v>
      </c>
      <c r="M10" s="13">
        <v>0</v>
      </c>
      <c r="N10" s="1" t="s">
        <v>253</v>
      </c>
      <c r="O10" s="1" t="s">
        <v>253</v>
      </c>
      <c r="P10" s="37">
        <v>44501</v>
      </c>
      <c r="Q10" s="37">
        <v>45078</v>
      </c>
      <c r="R10" s="37" t="s">
        <v>257</v>
      </c>
      <c r="S10" s="37">
        <v>45078</v>
      </c>
      <c r="T10" s="1" t="s">
        <v>3</v>
      </c>
      <c r="U10" s="1" t="s">
        <v>4</v>
      </c>
      <c r="V10" s="1" t="s">
        <v>5</v>
      </c>
      <c r="W10" s="1" t="s">
        <v>6</v>
      </c>
      <c r="X10" s="28" t="s">
        <v>10</v>
      </c>
      <c r="Y10" s="13">
        <v>215635.86</v>
      </c>
      <c r="Z10" s="13">
        <v>239500</v>
      </c>
      <c r="AA10" s="13"/>
      <c r="AB10" s="76"/>
      <c r="AC10" s="13">
        <v>1944800.74</v>
      </c>
      <c r="AD10" s="13"/>
      <c r="AE10" s="13"/>
      <c r="AF10" s="13">
        <f>Project_List[[#This Row],[Professional Service Agreement (PSA) Amount]]+Project_List[[#This Row],[Engineer''s Est]]+Project_List[[#This Row],[Estimated COA
Engineering / 
Admin]]</f>
        <v>215635.86</v>
      </c>
      <c r="AG10" s="13">
        <f>Project_List[[#This Row],[Professional Service Agreement (PSA) Amount]]+Project_List[[#This Row],[Final Construction Costs]]+Project_List[[#This Row],[Estimated COA
Engineering / 
Admin]]</f>
        <v>1944800.74</v>
      </c>
      <c r="AH10" s="13">
        <f>Project_List[[#This Row],[Overall Budget]]-Project_List[[#This Row],[Total Anticipated Costs (PSA+Est+COA Est)]]-Project_List[[#This Row],[Anticipated Costs Unincombered]]</f>
        <v>-128884.85999999999</v>
      </c>
      <c r="AI10" s="1" t="s">
        <v>13</v>
      </c>
      <c r="AJ10" s="32">
        <v>-273593</v>
      </c>
      <c r="AK10" s="36" t="s">
        <v>13</v>
      </c>
      <c r="AL10" s="1">
        <v>0</v>
      </c>
      <c r="AW10" s="41"/>
    </row>
    <row r="11" spans="1:122" ht="30" x14ac:dyDescent="0.25">
      <c r="A11" s="1" t="s">
        <v>253</v>
      </c>
      <c r="B11" s="1">
        <v>510</v>
      </c>
      <c r="C11" s="2" t="str">
        <f>LOOKUP(Project_List[[#This Row],[Fund No.]],'Code Lookup'!A$9:A$53,'Code Lookup'!B$9:B$53)</f>
        <v>Water Utility</v>
      </c>
      <c r="D11" s="1" t="s">
        <v>64</v>
      </c>
      <c r="E11" s="1" t="s">
        <v>55</v>
      </c>
      <c r="F11" s="19" t="s">
        <v>90</v>
      </c>
      <c r="G11" s="1" t="s">
        <v>91</v>
      </c>
      <c r="H11" s="32" t="s">
        <v>49</v>
      </c>
      <c r="I11" s="32">
        <v>555000</v>
      </c>
      <c r="J11" s="1">
        <v>59602</v>
      </c>
      <c r="K11" s="8" t="s">
        <v>16</v>
      </c>
      <c r="L11" s="12">
        <f>143800*0.18914</f>
        <v>27198.332000000002</v>
      </c>
      <c r="M11" s="12">
        <f>143549.54*0.18914</f>
        <v>27150.959995600002</v>
      </c>
      <c r="N11" s="1" t="s">
        <v>253</v>
      </c>
      <c r="O11" s="1" t="s">
        <v>254</v>
      </c>
      <c r="P11" s="37">
        <v>44652</v>
      </c>
      <c r="Q11" s="37">
        <v>45868</v>
      </c>
      <c r="R11" s="37" t="s">
        <v>273</v>
      </c>
      <c r="S11" s="37">
        <v>45048</v>
      </c>
      <c r="T11" s="1" t="s">
        <v>7</v>
      </c>
      <c r="U11" s="32" t="s">
        <v>4</v>
      </c>
      <c r="V11" s="32" t="s">
        <v>12</v>
      </c>
      <c r="W11" s="1" t="s">
        <v>13</v>
      </c>
      <c r="X11" s="1" t="s">
        <v>10</v>
      </c>
      <c r="Y11" s="13">
        <v>382707</v>
      </c>
      <c r="Z11" s="13">
        <v>555000</v>
      </c>
      <c r="AA11" s="13"/>
      <c r="AB11" s="76"/>
      <c r="AC11" s="13">
        <v>663481.44999999995</v>
      </c>
      <c r="AD11" s="13"/>
      <c r="AE11" s="13"/>
      <c r="AF11" s="13">
        <f>Project_List[[#This Row],[Professional Service Agreement (PSA) Amount]]+Project_List[[#This Row],[Engineer''s Est]]+Project_List[[#This Row],[Estimated COA
Engineering / 
Admin]]</f>
        <v>409905.33199999999</v>
      </c>
      <c r="AG11" s="13">
        <f>Project_List[[#This Row],[Professional Service Agreement (PSA) Amount]]+Project_List[[#This Row],[Final Construction Costs]]+Project_List[[#This Row],[Estimated COA
Engineering / 
Admin]]</f>
        <v>690679.78200000001</v>
      </c>
      <c r="AH11" s="13">
        <f>Project_List[[#This Row],[Overall Budget]]-Project_List[[#This Row],[Total Anticipated Costs (PSA+Est+COA Est)]]-Project_List[[#This Row],[Anticipated Costs Unincombered]]</f>
        <v>145094.66800000001</v>
      </c>
      <c r="AI11" s="2" t="s">
        <v>10</v>
      </c>
      <c r="AJ11" s="8"/>
      <c r="AK11" s="32" t="s">
        <v>10</v>
      </c>
      <c r="AL11" s="1">
        <v>0</v>
      </c>
      <c r="AW11" s="41"/>
    </row>
    <row r="12" spans="1:122" ht="30" x14ac:dyDescent="0.25">
      <c r="A12" s="1" t="s">
        <v>253</v>
      </c>
      <c r="B12" s="2">
        <v>381</v>
      </c>
      <c r="C12" s="2" t="str">
        <f>LOOKUP(Project_List[[#This Row],[Fund No.]],'Code Lookup'!A$9:A$53,'Code Lookup'!B$9:B$53)</f>
        <v>2020/21 GO Bonds</v>
      </c>
      <c r="D12" s="1" t="s">
        <v>30</v>
      </c>
      <c r="E12" s="2" t="s">
        <v>167</v>
      </c>
      <c r="F12" s="20" t="s">
        <v>61</v>
      </c>
      <c r="G12" s="2" t="s">
        <v>91</v>
      </c>
      <c r="H12" s="2" t="s">
        <v>49</v>
      </c>
      <c r="I12" s="8">
        <v>900000</v>
      </c>
      <c r="J12" s="2">
        <v>59602</v>
      </c>
      <c r="K12" s="2" t="s">
        <v>16</v>
      </c>
      <c r="L12" s="12">
        <f>143800*0.17892</f>
        <v>25728.696</v>
      </c>
      <c r="M12" s="12">
        <f>143549.54*0.17892</f>
        <v>25683.8836968</v>
      </c>
      <c r="N12" s="1" t="s">
        <v>253</v>
      </c>
      <c r="O12" s="1" t="s">
        <v>254</v>
      </c>
      <c r="P12" s="44">
        <v>44652</v>
      </c>
      <c r="Q12" s="44">
        <v>45868</v>
      </c>
      <c r="R12" s="44" t="s">
        <v>273</v>
      </c>
      <c r="S12" s="44">
        <v>45048</v>
      </c>
      <c r="T12" s="2" t="s">
        <v>7</v>
      </c>
      <c r="U12" s="2" t="s">
        <v>4</v>
      </c>
      <c r="V12" s="2" t="s">
        <v>12</v>
      </c>
      <c r="W12" s="2" t="s">
        <v>13</v>
      </c>
      <c r="X12" s="28" t="s">
        <v>10</v>
      </c>
      <c r="Y12" s="12">
        <v>536955.1</v>
      </c>
      <c r="Z12" s="12">
        <v>525000</v>
      </c>
      <c r="AA12" s="12"/>
      <c r="AB12" s="77"/>
      <c r="AC12" s="12">
        <v>525000</v>
      </c>
      <c r="AD12" s="12"/>
      <c r="AE12" s="12"/>
      <c r="AF12" s="12">
        <f>Project_List[[#This Row],[Professional Service Agreement (PSA) Amount]]+Project_List[[#This Row],[Engineer''s Est]]+Project_List[[#This Row],[Estimated COA
Engineering / 
Admin]]</f>
        <v>562683.79599999997</v>
      </c>
      <c r="AG12" s="13">
        <f>Project_List[[#This Row],[Professional Service Agreement (PSA) Amount]]+Project_List[[#This Row],[Final Construction Costs]]+Project_List[[#This Row],[Estimated COA
Engineering / 
Admin]]</f>
        <v>550728.696</v>
      </c>
      <c r="AH12" s="13">
        <f>Project_List[[#This Row],[Overall Budget]]-Project_List[[#This Row],[Total Anticipated Costs (PSA+Est+COA Est)]]-Project_List[[#This Row],[Anticipated Costs Unincombered]]</f>
        <v>337316.20400000003</v>
      </c>
      <c r="AI12" s="2" t="s">
        <v>10</v>
      </c>
      <c r="AJ12" s="8"/>
      <c r="AK12" s="32" t="s">
        <v>10</v>
      </c>
      <c r="AL12" s="1">
        <v>0</v>
      </c>
      <c r="AW12" s="41"/>
    </row>
    <row r="13" spans="1:122" ht="30" x14ac:dyDescent="0.25">
      <c r="A13" s="1" t="s">
        <v>253</v>
      </c>
      <c r="B13" s="2">
        <v>320</v>
      </c>
      <c r="C13" s="2" t="str">
        <f>LOOKUP(Project_List[[#This Row],[Fund No.]],'Code Lookup'!A$9:A$53,'Code Lookup'!B$9:B$53)</f>
        <v>Street Construction</v>
      </c>
      <c r="D13" s="1" t="s">
        <v>30</v>
      </c>
      <c r="E13" s="2" t="s">
        <v>552</v>
      </c>
      <c r="F13" s="20" t="s">
        <v>61</v>
      </c>
      <c r="G13" s="2" t="s">
        <v>91</v>
      </c>
      <c r="H13" s="2" t="s">
        <v>49</v>
      </c>
      <c r="I13" s="8">
        <v>1600000</v>
      </c>
      <c r="J13" s="2">
        <v>59602</v>
      </c>
      <c r="K13" s="2" t="s">
        <v>16</v>
      </c>
      <c r="L13" s="12">
        <f>143800*0.54528</f>
        <v>78411.263999999996</v>
      </c>
      <c r="M13" s="12">
        <f>143549.54*0.54528</f>
        <v>78274.693171200008</v>
      </c>
      <c r="N13" s="1" t="s">
        <v>253</v>
      </c>
      <c r="O13" s="1" t="s">
        <v>254</v>
      </c>
      <c r="P13" s="44">
        <v>44652</v>
      </c>
      <c r="Q13" s="44">
        <v>45868</v>
      </c>
      <c r="R13" s="44" t="s">
        <v>273</v>
      </c>
      <c r="S13" s="44">
        <v>45048</v>
      </c>
      <c r="T13" s="2" t="s">
        <v>7</v>
      </c>
      <c r="U13" s="2" t="s">
        <v>4</v>
      </c>
      <c r="V13" s="2" t="s">
        <v>12</v>
      </c>
      <c r="W13" s="2" t="s">
        <v>13</v>
      </c>
      <c r="X13" s="1" t="s">
        <v>10</v>
      </c>
      <c r="Y13" s="12">
        <v>1757735.6</v>
      </c>
      <c r="Z13" s="12">
        <v>1600000</v>
      </c>
      <c r="AA13" s="12">
        <v>-55427.87</v>
      </c>
      <c r="AB13" s="77"/>
      <c r="AC13" s="12">
        <v>1486168.58</v>
      </c>
      <c r="AD13" s="102">
        <v>476134.97</v>
      </c>
      <c r="AE13" s="12"/>
      <c r="AF13" s="12">
        <f>Project_List[[#This Row],[Professional Service Agreement (PSA) Amount]]+Project_List[[#This Row],[Engineer''s Est]]+Project_List[[#This Row],[Estimated COA
Engineering / 
Admin]]</f>
        <v>2312281.8339999998</v>
      </c>
      <c r="AG13" s="13">
        <f>Project_List[[#This Row],[Professional Service Agreement (PSA) Amount]]+Project_List[[#This Row],[Final Construction Costs]]+Project_List[[#This Row],[Estimated COA
Engineering / 
Admin]]</f>
        <v>2040714.814</v>
      </c>
      <c r="AH13" s="13">
        <f>Project_List[[#This Row],[Overall Budget]]-Project_List[[#This Row],[Total Anticipated Costs (PSA+Est+COA Est)]]-Project_List[[#This Row],[Anticipated Costs Unincombered]]</f>
        <v>-712281.8339999998</v>
      </c>
      <c r="AI13" s="2" t="s">
        <v>10</v>
      </c>
      <c r="AJ13" s="8"/>
      <c r="AK13" s="32" t="s">
        <v>10</v>
      </c>
      <c r="AL13" s="1">
        <v>1</v>
      </c>
      <c r="AW13" s="41"/>
    </row>
    <row r="14" spans="1:122" ht="75" x14ac:dyDescent="0.25">
      <c r="A14" s="1" t="s">
        <v>253</v>
      </c>
      <c r="B14" s="1">
        <v>381</v>
      </c>
      <c r="C14" s="2" t="str">
        <f>LOOKUP(Project_List[[#This Row],[Fund No.]],'Code Lookup'!A$9:A$53,'Code Lookup'!B$9:B$53)</f>
        <v>2020/21 GO Bonds</v>
      </c>
      <c r="D14" s="1" t="s">
        <v>30</v>
      </c>
      <c r="E14" s="1" t="s">
        <v>161</v>
      </c>
      <c r="F14" s="18" t="s">
        <v>60</v>
      </c>
      <c r="G14" s="1" t="s">
        <v>162</v>
      </c>
      <c r="H14" s="1" t="s">
        <v>49</v>
      </c>
      <c r="J14" s="1">
        <v>60631</v>
      </c>
      <c r="K14" s="1" t="s">
        <v>29</v>
      </c>
      <c r="L14" s="13">
        <v>0</v>
      </c>
      <c r="M14" s="13">
        <v>0</v>
      </c>
      <c r="N14" s="1" t="s">
        <v>254</v>
      </c>
      <c r="O14" s="1" t="s">
        <v>254</v>
      </c>
      <c r="P14" s="37">
        <v>45017</v>
      </c>
      <c r="Q14" s="37">
        <v>45413</v>
      </c>
      <c r="R14" s="37" t="s">
        <v>256</v>
      </c>
      <c r="S14" s="37">
        <v>44926</v>
      </c>
      <c r="T14" s="1" t="s">
        <v>7</v>
      </c>
      <c r="U14" s="1" t="s">
        <v>0</v>
      </c>
      <c r="V14" s="1" t="s">
        <v>12</v>
      </c>
      <c r="W14" s="1" t="s">
        <v>10</v>
      </c>
      <c r="X14" s="28" t="s">
        <v>10</v>
      </c>
      <c r="Y14" s="13">
        <v>666563</v>
      </c>
      <c r="Z14" s="13">
        <v>666666</v>
      </c>
      <c r="AA14" s="13"/>
      <c r="AB14" s="76"/>
      <c r="AC14" s="13">
        <v>664014</v>
      </c>
      <c r="AD14" s="13"/>
      <c r="AE14" s="13"/>
      <c r="AF14" s="13">
        <f>Project_List[[#This Row],[Professional Service Agreement (PSA) Amount]]+Project_List[[#This Row],[Engineer''s Est]]+Project_List[[#This Row],[Estimated COA
Engineering / 
Admin]]</f>
        <v>666563</v>
      </c>
      <c r="AG14" s="13">
        <f>Project_List[[#This Row],[Professional Service Agreement (PSA) Amount]]+Project_List[[#This Row],[Final Construction Costs]]+Project_List[[#This Row],[Estimated COA
Engineering / 
Admin]]</f>
        <v>664014</v>
      </c>
      <c r="AH14" s="13">
        <f>Project_List[[#This Row],[Overall Budget]]-Project_List[[#This Row],[Total Anticipated Costs (PSA+Est+COA Est)]]-Project_List[[#This Row],[Anticipated Costs Unincombered]]</f>
        <v>-666563</v>
      </c>
      <c r="AI14" s="1" t="s">
        <v>10</v>
      </c>
      <c r="AJ14" s="32">
        <v>0</v>
      </c>
      <c r="AK14" s="36" t="s">
        <v>10</v>
      </c>
      <c r="AL14" s="1">
        <v>1</v>
      </c>
      <c r="AW14" s="41"/>
    </row>
    <row r="15" spans="1:122" ht="30" x14ac:dyDescent="0.25">
      <c r="A15" s="1" t="s">
        <v>253</v>
      </c>
      <c r="B15" s="1">
        <v>381</v>
      </c>
      <c r="C15" s="2" t="str">
        <f>LOOKUP(Project_List[[#This Row],[Fund No.]],'Code Lookup'!A$9:A$53,'Code Lookup'!B$9:B$53)</f>
        <v>2020/21 GO Bonds</v>
      </c>
      <c r="D15" s="1" t="s">
        <v>30</v>
      </c>
      <c r="E15" s="1" t="s">
        <v>161</v>
      </c>
      <c r="F15" s="18" t="s">
        <v>60</v>
      </c>
      <c r="G15" s="1" t="s">
        <v>163</v>
      </c>
      <c r="H15" s="1" t="s">
        <v>49</v>
      </c>
      <c r="I15" s="32">
        <v>1581905.25</v>
      </c>
      <c r="J15" s="1">
        <v>59263</v>
      </c>
      <c r="K15" s="1" t="s">
        <v>29</v>
      </c>
      <c r="L15" s="13">
        <v>0</v>
      </c>
      <c r="M15" s="13">
        <v>0</v>
      </c>
      <c r="N15" s="1" t="s">
        <v>253</v>
      </c>
      <c r="O15" s="1" t="s">
        <v>253</v>
      </c>
      <c r="P15" s="37">
        <v>44348</v>
      </c>
      <c r="Q15" s="37">
        <v>44602</v>
      </c>
      <c r="R15" s="37" t="s">
        <v>254</v>
      </c>
      <c r="S15" s="37" t="s">
        <v>165</v>
      </c>
      <c r="T15" s="1"/>
      <c r="U15" s="1" t="s">
        <v>0</v>
      </c>
      <c r="V15" s="1" t="s">
        <v>18</v>
      </c>
      <c r="W15" s="1" t="s">
        <v>10</v>
      </c>
      <c r="X15" s="1" t="s">
        <v>10</v>
      </c>
      <c r="Y15" s="13">
        <f>1681905.25-100000</f>
        <v>1581905.25</v>
      </c>
      <c r="Z15" s="13">
        <v>1156246.21</v>
      </c>
      <c r="AA15" s="13"/>
      <c r="AB15" s="76"/>
      <c r="AC15" s="13">
        <v>1173433.56</v>
      </c>
      <c r="AD15" s="13"/>
      <c r="AE15" s="13"/>
      <c r="AF15" s="13">
        <f>Project_List[[#This Row],[Professional Service Agreement (PSA) Amount]]+Project_List[[#This Row],[Engineer''s Est]]+Project_List[[#This Row],[Estimated COA
Engineering / 
Admin]]</f>
        <v>1581905.25</v>
      </c>
      <c r="AG15" s="13">
        <f>Project_List[[#This Row],[Professional Service Agreement (PSA) Amount]]+Project_List[[#This Row],[Final Construction Costs]]+Project_List[[#This Row],[Estimated COA
Engineering / 
Admin]]</f>
        <v>1173433.56</v>
      </c>
      <c r="AH15" s="13">
        <f>Project_List[[#This Row],[Overall Budget]]-Project_List[[#This Row],[Total Anticipated Costs (PSA+Est+COA Est)]]-Project_List[[#This Row],[Anticipated Costs Unincombered]]</f>
        <v>0</v>
      </c>
      <c r="AI15" s="1" t="s">
        <v>10</v>
      </c>
      <c r="AJ15" s="32">
        <v>0</v>
      </c>
      <c r="AK15" s="36" t="s">
        <v>10</v>
      </c>
      <c r="AL15" s="1">
        <v>1</v>
      </c>
      <c r="AW15" s="41"/>
    </row>
    <row r="16" spans="1:122" ht="30" x14ac:dyDescent="0.25">
      <c r="A16" s="1" t="s">
        <v>253</v>
      </c>
      <c r="B16" s="1">
        <v>60</v>
      </c>
      <c r="C16" s="2" t="str">
        <f>LOOKUP(Project_List[[#This Row],[Fund No.]],'Code Lookup'!A$9:A$53,'Code Lookup'!B$9:B$53)</f>
        <v>Road Use Tax</v>
      </c>
      <c r="D16" s="1" t="s">
        <v>30</v>
      </c>
      <c r="E16" s="1" t="s">
        <v>166</v>
      </c>
      <c r="F16" s="18" t="s">
        <v>314</v>
      </c>
      <c r="G16" s="1" t="s">
        <v>140</v>
      </c>
      <c r="H16" s="1" t="s">
        <v>49</v>
      </c>
      <c r="I16" s="32">
        <v>776718.91</v>
      </c>
      <c r="K16" s="1" t="s">
        <v>4</v>
      </c>
      <c r="L16" s="13">
        <v>0</v>
      </c>
      <c r="M16" s="13">
        <v>0</v>
      </c>
      <c r="N16" s="1" t="s">
        <v>253</v>
      </c>
      <c r="O16" s="1" t="s">
        <v>254</v>
      </c>
      <c r="P16" s="37">
        <v>44440</v>
      </c>
      <c r="Q16" s="37">
        <v>44782</v>
      </c>
      <c r="R16" s="37" t="s">
        <v>255</v>
      </c>
      <c r="S16" s="37">
        <v>44782</v>
      </c>
      <c r="T16" s="1" t="s">
        <v>11</v>
      </c>
      <c r="U16" s="1" t="s">
        <v>4</v>
      </c>
      <c r="V16" s="1" t="s">
        <v>456</v>
      </c>
      <c r="W16" s="1" t="s">
        <v>10</v>
      </c>
      <c r="X16" s="28" t="s">
        <v>10</v>
      </c>
      <c r="Y16" s="13">
        <v>901527.95</v>
      </c>
      <c r="Z16" s="13">
        <v>776718.91</v>
      </c>
      <c r="AA16" s="13"/>
      <c r="AB16" s="76"/>
      <c r="AC16" s="13">
        <v>743263.53</v>
      </c>
      <c r="AD16" s="13"/>
      <c r="AE16" s="13"/>
      <c r="AF16" s="13">
        <f>Project_List[[#This Row],[Professional Service Agreement (PSA) Amount]]+Project_List[[#This Row],[Engineer''s Est]]+Project_List[[#This Row],[Estimated COA
Engineering / 
Admin]]</f>
        <v>901527.95</v>
      </c>
      <c r="AG16" s="13">
        <f>Project_List[[#This Row],[Professional Service Agreement (PSA) Amount]]+Project_List[[#This Row],[Final Construction Costs]]+Project_List[[#This Row],[Estimated COA
Engineering / 
Admin]]</f>
        <v>743263.53</v>
      </c>
      <c r="AH16" s="13">
        <f>Project_List[[#This Row],[Overall Budget]]-Project_List[[#This Row],[Total Anticipated Costs (PSA+Est+COA Est)]]-Project_List[[#This Row],[Anticipated Costs Unincombered]]</f>
        <v>-124809.03999999992</v>
      </c>
      <c r="AI16" s="1" t="s">
        <v>10</v>
      </c>
      <c r="AJ16" s="32">
        <v>0</v>
      </c>
      <c r="AK16" s="36" t="s">
        <v>10</v>
      </c>
      <c r="AL16" s="1">
        <v>1</v>
      </c>
      <c r="AW16" s="41"/>
    </row>
    <row r="17" spans="1:49" ht="30" x14ac:dyDescent="0.25">
      <c r="A17" s="1" t="s">
        <v>253</v>
      </c>
      <c r="B17" s="1">
        <v>60</v>
      </c>
      <c r="C17" s="2" t="str">
        <f>LOOKUP(Project_List[[#This Row],[Fund No.]],'Code Lookup'!A$9:A$53,'Code Lookup'!B$9:B$53)</f>
        <v>Road Use Tax</v>
      </c>
      <c r="D17" s="1" t="s">
        <v>30</v>
      </c>
      <c r="E17" s="1" t="s">
        <v>164</v>
      </c>
      <c r="F17" s="18" t="s">
        <v>60</v>
      </c>
      <c r="G17" s="1" t="s">
        <v>163</v>
      </c>
      <c r="H17" s="32" t="s">
        <v>49</v>
      </c>
      <c r="I17" s="32">
        <v>100000</v>
      </c>
      <c r="J17" s="1">
        <v>59263</v>
      </c>
      <c r="K17" s="8" t="s">
        <v>29</v>
      </c>
      <c r="L17" s="12">
        <v>0</v>
      </c>
      <c r="M17" s="12">
        <v>0</v>
      </c>
      <c r="N17" s="1" t="s">
        <v>253</v>
      </c>
      <c r="O17" s="1" t="s">
        <v>253</v>
      </c>
      <c r="P17" s="37">
        <v>44348</v>
      </c>
      <c r="Q17" s="37">
        <v>44602</v>
      </c>
      <c r="R17" s="37" t="s">
        <v>254</v>
      </c>
      <c r="S17" s="37" t="s">
        <v>165</v>
      </c>
      <c r="T17" s="1"/>
      <c r="U17" s="32" t="s">
        <v>0</v>
      </c>
      <c r="V17" s="1" t="s">
        <v>18</v>
      </c>
      <c r="W17" s="1" t="s">
        <v>10</v>
      </c>
      <c r="X17" s="1" t="s">
        <v>10</v>
      </c>
      <c r="Y17" s="13">
        <v>100000</v>
      </c>
      <c r="Z17" s="13">
        <v>100000</v>
      </c>
      <c r="AA17" s="13"/>
      <c r="AB17" s="76"/>
      <c r="AC17" s="13">
        <v>111094.7</v>
      </c>
      <c r="AD17" s="13"/>
      <c r="AE17" s="13"/>
      <c r="AF17" s="13">
        <f>Project_List[[#This Row],[Professional Service Agreement (PSA) Amount]]+Project_List[[#This Row],[Engineer''s Est]]+Project_List[[#This Row],[Estimated COA
Engineering / 
Admin]]</f>
        <v>100000</v>
      </c>
      <c r="AG17" s="13">
        <f>Project_List[[#This Row],[Professional Service Agreement (PSA) Amount]]+Project_List[[#This Row],[Final Construction Costs]]+Project_List[[#This Row],[Estimated COA
Engineering / 
Admin]]</f>
        <v>111094.7</v>
      </c>
      <c r="AH17" s="13">
        <f>Project_List[[#This Row],[Overall Budget]]-Project_List[[#This Row],[Total Anticipated Costs (PSA+Est+COA Est)]]-Project_List[[#This Row],[Anticipated Costs Unincombered]]</f>
        <v>0</v>
      </c>
      <c r="AI17" s="2" t="s">
        <v>10</v>
      </c>
      <c r="AJ17" s="8">
        <v>0</v>
      </c>
      <c r="AK17" s="36" t="s">
        <v>10</v>
      </c>
      <c r="AL17" s="1">
        <v>0</v>
      </c>
      <c r="AW17" s="41"/>
    </row>
    <row r="18" spans="1:49" ht="30" x14ac:dyDescent="0.25">
      <c r="A18" s="1" t="s">
        <v>253</v>
      </c>
      <c r="B18" s="1">
        <v>87</v>
      </c>
      <c r="C18" s="2" t="str">
        <f>LOOKUP(Project_List[[#This Row],[Fund No.]],'Code Lookup'!A$9:A$53,'Code Lookup'!B$9:B$53)</f>
        <v>CDBG</v>
      </c>
      <c r="D18" s="1" t="s">
        <v>170</v>
      </c>
      <c r="E18" s="1" t="s">
        <v>171</v>
      </c>
      <c r="F18" s="18" t="s">
        <v>315</v>
      </c>
      <c r="G18" s="1" t="s">
        <v>386</v>
      </c>
      <c r="H18" s="1" t="s">
        <v>49</v>
      </c>
      <c r="J18" s="1">
        <v>58517</v>
      </c>
      <c r="K18" s="1" t="s">
        <v>172</v>
      </c>
      <c r="L18" s="13"/>
      <c r="M18" s="13"/>
      <c r="N18" s="1" t="s">
        <v>253</v>
      </c>
      <c r="O18" s="1" t="s">
        <v>253</v>
      </c>
      <c r="P18" s="37">
        <v>44136</v>
      </c>
      <c r="Q18" s="37">
        <v>44804</v>
      </c>
      <c r="R18" s="37" t="s">
        <v>255</v>
      </c>
      <c r="S18" s="37">
        <v>44377</v>
      </c>
      <c r="T18" s="1" t="s">
        <v>11</v>
      </c>
      <c r="U18" s="2" t="s">
        <v>29</v>
      </c>
      <c r="V18" s="1" t="s">
        <v>12</v>
      </c>
      <c r="W18" s="1" t="s">
        <v>34</v>
      </c>
      <c r="X18" s="28" t="s">
        <v>10</v>
      </c>
      <c r="Y18" s="13">
        <v>1402922</v>
      </c>
      <c r="Z18" s="13">
        <v>1317872.6499999999</v>
      </c>
      <c r="AA18" s="13"/>
      <c r="AB18" s="76"/>
      <c r="AC18" s="13">
        <v>1401355.78</v>
      </c>
      <c r="AD18" s="13"/>
      <c r="AE18" s="13"/>
      <c r="AF18" s="13">
        <f>Project_List[[#This Row],[Professional Service Agreement (PSA) Amount]]+Project_List[[#This Row],[Engineer''s Est]]+Project_List[[#This Row],[Estimated COA
Engineering / 
Admin]]</f>
        <v>1402922</v>
      </c>
      <c r="AG18" s="13">
        <f>Project_List[[#This Row],[Professional Service Agreement (PSA) Amount]]+Project_List[[#This Row],[Final Construction Costs]]+Project_List[[#This Row],[Estimated COA
Engineering / 
Admin]]</f>
        <v>1401355.78</v>
      </c>
      <c r="AH18" s="13">
        <f>Project_List[[#This Row],[Overall Budget]]-Project_List[[#This Row],[Total Anticipated Costs (PSA+Est+COA Est)]]-Project_List[[#This Row],[Anticipated Costs Unincombered]]</f>
        <v>-1402922</v>
      </c>
      <c r="AI18" s="1" t="s">
        <v>13</v>
      </c>
      <c r="AJ18" s="32">
        <v>0</v>
      </c>
      <c r="AK18" s="36" t="s">
        <v>10</v>
      </c>
      <c r="AL18" s="1">
        <v>1</v>
      </c>
      <c r="AW18" s="41"/>
    </row>
    <row r="19" spans="1:49" ht="30" x14ac:dyDescent="0.25">
      <c r="A19" s="1" t="s">
        <v>253</v>
      </c>
      <c r="B19" s="6">
        <v>510</v>
      </c>
      <c r="C19" s="2" t="str">
        <f>LOOKUP(Project_List[[#This Row],[Fund No.]],'Code Lookup'!A$9:A$53,'Code Lookup'!B$9:B$53)</f>
        <v>Water Utility</v>
      </c>
      <c r="D19" s="6" t="s">
        <v>64</v>
      </c>
      <c r="E19" s="6" t="s">
        <v>229</v>
      </c>
      <c r="F19" s="19" t="s">
        <v>90</v>
      </c>
      <c r="G19" s="6" t="s">
        <v>413</v>
      </c>
      <c r="H19" s="1" t="s">
        <v>49</v>
      </c>
      <c r="I19" s="32">
        <v>72355</v>
      </c>
      <c r="J19" s="1">
        <v>59817</v>
      </c>
      <c r="K19" s="1" t="s">
        <v>46</v>
      </c>
      <c r="L19" s="13">
        <v>47210</v>
      </c>
      <c r="M19" s="13"/>
      <c r="N19" s="1" t="s">
        <v>253</v>
      </c>
      <c r="O19" s="1" t="s">
        <v>253</v>
      </c>
      <c r="P19" s="37">
        <v>44501</v>
      </c>
      <c r="Q19" s="37">
        <v>45169</v>
      </c>
      <c r="R19" s="37" t="s">
        <v>256</v>
      </c>
      <c r="S19" s="37">
        <v>45078</v>
      </c>
      <c r="T19" s="1" t="s">
        <v>3</v>
      </c>
      <c r="U19" s="1" t="s">
        <v>4</v>
      </c>
      <c r="V19" s="1" t="s">
        <v>5</v>
      </c>
      <c r="W19" s="1" t="s">
        <v>6</v>
      </c>
      <c r="X19" s="1" t="s">
        <v>10</v>
      </c>
      <c r="Y19" s="13">
        <v>452460</v>
      </c>
      <c r="Z19" s="13">
        <v>644997.5</v>
      </c>
      <c r="AA19" s="13"/>
      <c r="AB19" s="76"/>
      <c r="AC19" s="13">
        <v>786308.31</v>
      </c>
      <c r="AD19" s="13"/>
      <c r="AE19" s="13"/>
      <c r="AF19" s="13">
        <f>Project_List[[#This Row],[Professional Service Agreement (PSA) Amount]]+Project_List[[#This Row],[Engineer''s Est]]+Project_List[[#This Row],[Estimated COA
Engineering / 
Admin]]</f>
        <v>499670</v>
      </c>
      <c r="AG19" s="13">
        <f>Project_List[[#This Row],[Professional Service Agreement (PSA) Amount]]+Project_List[[#This Row],[Final Construction Costs]]+Project_List[[#This Row],[Estimated COA
Engineering / 
Admin]]</f>
        <v>833518.31</v>
      </c>
      <c r="AH19" s="13">
        <f>Project_List[[#This Row],[Overall Budget]]-Project_List[[#This Row],[Total Anticipated Costs (PSA+Est+COA Est)]]-Project_List[[#This Row],[Anticipated Costs Unincombered]]</f>
        <v>-427315</v>
      </c>
      <c r="AI19" s="1" t="s">
        <v>13</v>
      </c>
      <c r="AJ19" s="32"/>
      <c r="AK19" s="36" t="s">
        <v>13</v>
      </c>
      <c r="AL19" s="1">
        <v>0</v>
      </c>
      <c r="AW19" s="41"/>
    </row>
    <row r="20" spans="1:49" ht="30" x14ac:dyDescent="0.25">
      <c r="A20" s="1" t="s">
        <v>253</v>
      </c>
      <c r="B20" s="6">
        <v>520</v>
      </c>
      <c r="C20" s="2" t="str">
        <f>LOOKUP(Project_List[[#This Row],[Fund No.]],'Code Lookup'!A$9:A$53,'Code Lookup'!B$9:B$53)</f>
        <v>Sewer Utility</v>
      </c>
      <c r="D20" s="1" t="s">
        <v>322</v>
      </c>
      <c r="E20" s="6" t="s">
        <v>231</v>
      </c>
      <c r="F20" s="19" t="s">
        <v>133</v>
      </c>
      <c r="G20" s="6" t="s">
        <v>413</v>
      </c>
      <c r="H20" s="1" t="s">
        <v>49</v>
      </c>
      <c r="I20" s="32">
        <v>316392</v>
      </c>
      <c r="J20" s="1">
        <v>59817</v>
      </c>
      <c r="K20" s="1" t="s">
        <v>46</v>
      </c>
      <c r="L20" s="13">
        <v>206860</v>
      </c>
      <c r="M20" s="13"/>
      <c r="N20" s="1" t="s">
        <v>253</v>
      </c>
      <c r="O20" s="1" t="s">
        <v>253</v>
      </c>
      <c r="P20" s="37">
        <v>44501</v>
      </c>
      <c r="Q20" s="37">
        <v>45078</v>
      </c>
      <c r="R20" s="37" t="s">
        <v>257</v>
      </c>
      <c r="S20" s="37">
        <v>45078</v>
      </c>
      <c r="T20" s="1" t="s">
        <v>3</v>
      </c>
      <c r="U20" s="1" t="s">
        <v>4</v>
      </c>
      <c r="V20" s="1" t="s">
        <v>5</v>
      </c>
      <c r="W20" s="1" t="s">
        <v>6</v>
      </c>
      <c r="X20" s="28" t="s">
        <v>10</v>
      </c>
      <c r="Y20" s="13">
        <v>1250735.32</v>
      </c>
      <c r="Z20" s="13">
        <v>1389152.6</v>
      </c>
      <c r="AA20" s="13"/>
      <c r="AB20" s="76"/>
      <c r="AC20" s="13">
        <v>4461037.25</v>
      </c>
      <c r="AD20" s="13">
        <f>201133+433053+63007.13</f>
        <v>697193.13</v>
      </c>
      <c r="AE20" s="13"/>
      <c r="AF20" s="13">
        <f>Project_List[[#This Row],[Professional Service Agreement (PSA) Amount]]+Project_List[[#This Row],[Engineer''s Est]]+Project_List[[#This Row],[Estimated COA
Engineering / 
Admin]]</f>
        <v>2154788.4500000002</v>
      </c>
      <c r="AG20" s="13">
        <f>Project_List[[#This Row],[Professional Service Agreement (PSA) Amount]]+Project_List[[#This Row],[Final Construction Costs]]+Project_List[[#This Row],[Estimated COA
Engineering / 
Admin]]</f>
        <v>5365090.38</v>
      </c>
      <c r="AH20" s="13">
        <f>Project_List[[#This Row],[Overall Budget]]-Project_List[[#This Row],[Total Anticipated Costs (PSA+Est+COA Est)]]-Project_List[[#This Row],[Anticipated Costs Unincombered]]</f>
        <v>-1838396.4500000002</v>
      </c>
      <c r="AI20" s="1" t="s">
        <v>13</v>
      </c>
      <c r="AJ20" s="32">
        <v>0</v>
      </c>
      <c r="AK20" s="36" t="s">
        <v>13</v>
      </c>
      <c r="AL20" s="1">
        <v>0</v>
      </c>
      <c r="AW20" s="41"/>
    </row>
    <row r="21" spans="1:49" ht="30" x14ac:dyDescent="0.25">
      <c r="A21" s="1" t="s">
        <v>253</v>
      </c>
      <c r="B21" s="2">
        <v>520</v>
      </c>
      <c r="C21" s="2" t="str">
        <f>LOOKUP(Project_List[[#This Row],[Fund No.]],'Code Lookup'!A$9:A$53,'Code Lookup'!B$9:B$53)</f>
        <v>Sewer Utility</v>
      </c>
      <c r="D21" s="2" t="s">
        <v>322</v>
      </c>
      <c r="E21" s="2" t="s">
        <v>67</v>
      </c>
      <c r="F21" s="20" t="s">
        <v>133</v>
      </c>
      <c r="G21" s="2" t="s">
        <v>91</v>
      </c>
      <c r="H21" s="2" t="s">
        <v>49</v>
      </c>
      <c r="I21" s="8">
        <v>45000</v>
      </c>
      <c r="J21" s="2">
        <v>59602</v>
      </c>
      <c r="K21" s="2" t="s">
        <v>16</v>
      </c>
      <c r="L21" s="12">
        <f>143800*0.17892</f>
        <v>25728.696</v>
      </c>
      <c r="M21" s="12">
        <f>143549.54*0.17892</f>
        <v>25683.8836968</v>
      </c>
      <c r="N21" s="1" t="s">
        <v>253</v>
      </c>
      <c r="O21" s="1" t="s">
        <v>253</v>
      </c>
      <c r="P21" s="44">
        <v>44652</v>
      </c>
      <c r="Q21" s="44">
        <v>45868</v>
      </c>
      <c r="R21" s="44" t="s">
        <v>273</v>
      </c>
      <c r="S21" s="44">
        <v>45048</v>
      </c>
      <c r="T21" s="2" t="s">
        <v>7</v>
      </c>
      <c r="U21" s="2" t="s">
        <v>4</v>
      </c>
      <c r="V21" s="2" t="s">
        <v>12</v>
      </c>
      <c r="W21" s="45" t="s">
        <v>13</v>
      </c>
      <c r="X21" s="1" t="s">
        <v>10</v>
      </c>
      <c r="Y21" s="12">
        <v>41300</v>
      </c>
      <c r="Z21" s="13">
        <v>45000</v>
      </c>
      <c r="AA21" s="13"/>
      <c r="AB21" s="76"/>
      <c r="AC21" s="13">
        <v>40000</v>
      </c>
      <c r="AD21" s="13"/>
      <c r="AE21" s="13"/>
      <c r="AF21" s="13">
        <f>Project_List[[#This Row],[Professional Service Agreement (PSA) Amount]]+Project_List[[#This Row],[Engineer''s Est]]+Project_List[[#This Row],[Estimated COA
Engineering / 
Admin]]</f>
        <v>67028.695999999996</v>
      </c>
      <c r="AG21" s="13">
        <f>Project_List[[#This Row],[Professional Service Agreement (PSA) Amount]]+Project_List[[#This Row],[Final Construction Costs]]+Project_List[[#This Row],[Estimated COA
Engineering / 
Admin]]</f>
        <v>65728.695999999996</v>
      </c>
      <c r="AH21" s="13">
        <f>Project_List[[#This Row],[Overall Budget]]-Project_List[[#This Row],[Total Anticipated Costs (PSA+Est+COA Est)]]-Project_List[[#This Row],[Anticipated Costs Unincombered]]</f>
        <v>-22028.695999999996</v>
      </c>
      <c r="AI21" s="1" t="s">
        <v>10</v>
      </c>
      <c r="AJ21" s="32">
        <v>-498</v>
      </c>
      <c r="AK21" s="32" t="s">
        <v>10</v>
      </c>
      <c r="AL21" s="1">
        <v>0</v>
      </c>
      <c r="AW21" s="41"/>
    </row>
    <row r="22" spans="1:49" ht="30" x14ac:dyDescent="0.25">
      <c r="A22" s="1" t="s">
        <v>253</v>
      </c>
      <c r="B22" s="1">
        <v>560</v>
      </c>
      <c r="C22" s="2" t="str">
        <f>LOOKUP(Project_List[[#This Row],[Fund No.]],'Code Lookup'!A$9:A$53,'Code Lookup'!B$9:B$53)</f>
        <v>Stormwater Utility</v>
      </c>
      <c r="D22" s="1" t="s">
        <v>68</v>
      </c>
      <c r="E22" s="1" t="s">
        <v>168</v>
      </c>
      <c r="F22" s="18" t="s">
        <v>324</v>
      </c>
      <c r="G22" s="1" t="s">
        <v>91</v>
      </c>
      <c r="H22" s="32" t="s">
        <v>49</v>
      </c>
      <c r="I22" s="32">
        <v>255000</v>
      </c>
      <c r="J22" s="1">
        <v>59602</v>
      </c>
      <c r="K22" s="8" t="s">
        <v>16</v>
      </c>
      <c r="L22" s="12">
        <f>143800*0.07133</f>
        <v>10257.254000000001</v>
      </c>
      <c r="M22" s="12">
        <f>143549.54*0.07133</f>
        <v>10239.388688200001</v>
      </c>
      <c r="N22" s="1" t="s">
        <v>253</v>
      </c>
      <c r="O22" s="1" t="s">
        <v>254</v>
      </c>
      <c r="P22" s="37">
        <v>44652</v>
      </c>
      <c r="Q22" s="37">
        <v>45868</v>
      </c>
      <c r="R22" s="37" t="s">
        <v>273</v>
      </c>
      <c r="S22" s="37">
        <v>45048</v>
      </c>
      <c r="T22" s="1" t="s">
        <v>7</v>
      </c>
      <c r="U22" s="32" t="s">
        <v>4</v>
      </c>
      <c r="V22" s="32" t="s">
        <v>12</v>
      </c>
      <c r="W22" s="1" t="s">
        <v>13</v>
      </c>
      <c r="X22" s="28" t="s">
        <v>10</v>
      </c>
      <c r="Y22" s="13">
        <v>261302.3</v>
      </c>
      <c r="Z22" s="13">
        <v>209292.9</v>
      </c>
      <c r="AA22" s="13"/>
      <c r="AB22" s="76"/>
      <c r="AC22" s="13">
        <v>164215</v>
      </c>
      <c r="AD22" s="13"/>
      <c r="AE22" s="13"/>
      <c r="AF22" s="13">
        <f>Project_List[[#This Row],[Professional Service Agreement (PSA) Amount]]+Project_List[[#This Row],[Engineer''s Est]]+Project_List[[#This Row],[Estimated COA
Engineering / 
Admin]]</f>
        <v>271559.554</v>
      </c>
      <c r="AG22" s="13">
        <f>Project_List[[#This Row],[Professional Service Agreement (PSA) Amount]]+Project_List[[#This Row],[Final Construction Costs]]+Project_List[[#This Row],[Estimated COA
Engineering / 
Admin]]</f>
        <v>174472.25400000002</v>
      </c>
      <c r="AH22" s="13">
        <f>Project_List[[#This Row],[Overall Budget]]-Project_List[[#This Row],[Total Anticipated Costs (PSA+Est+COA Est)]]-Project_List[[#This Row],[Anticipated Costs Unincombered]]</f>
        <v>-16559.554000000004</v>
      </c>
      <c r="AI22" s="2" t="s">
        <v>10</v>
      </c>
      <c r="AJ22" s="8">
        <v>0</v>
      </c>
      <c r="AK22" s="32" t="s">
        <v>10</v>
      </c>
      <c r="AL22" s="1">
        <v>0</v>
      </c>
      <c r="AW22" s="41"/>
    </row>
    <row r="23" spans="1:49" ht="30" x14ac:dyDescent="0.25">
      <c r="A23" s="1" t="s">
        <v>254</v>
      </c>
      <c r="B23" s="6">
        <v>382</v>
      </c>
      <c r="C23" s="2" t="str">
        <f>LOOKUP(Project_List[[#This Row],[Fund No.]],'Code Lookup'!A$9:A$53,'Code Lookup'!B$9:B$53)</f>
        <v>2021/22 GO Bonds</v>
      </c>
      <c r="D23" s="1" t="s">
        <v>30</v>
      </c>
      <c r="E23" s="6" t="s">
        <v>183</v>
      </c>
      <c r="F23" s="19" t="s">
        <v>60</v>
      </c>
      <c r="G23" s="1" t="s">
        <v>186</v>
      </c>
      <c r="H23" s="1" t="s">
        <v>49</v>
      </c>
      <c r="I23" s="32">
        <f>2600000+500000</f>
        <v>3100000</v>
      </c>
      <c r="J23" s="1">
        <v>61756</v>
      </c>
      <c r="K23" s="1" t="s">
        <v>45</v>
      </c>
      <c r="L23" s="13">
        <v>233400</v>
      </c>
      <c r="M23" s="13">
        <v>289415</v>
      </c>
      <c r="N23" s="1" t="s">
        <v>254</v>
      </c>
      <c r="O23" s="1" t="s">
        <v>254</v>
      </c>
      <c r="P23" s="37">
        <v>45392</v>
      </c>
      <c r="Q23" s="37">
        <v>45672</v>
      </c>
      <c r="R23" s="37" t="s">
        <v>257</v>
      </c>
      <c r="S23" s="37">
        <v>45688</v>
      </c>
      <c r="T23" s="1" t="s">
        <v>11</v>
      </c>
      <c r="U23" s="2" t="s">
        <v>4</v>
      </c>
      <c r="V23" s="1" t="s">
        <v>12</v>
      </c>
      <c r="W23" s="1" t="s">
        <v>13</v>
      </c>
      <c r="X23" s="1" t="s">
        <v>13</v>
      </c>
      <c r="Y23" s="13">
        <v>2552314.23</v>
      </c>
      <c r="Z23" s="13">
        <v>2392583.23</v>
      </c>
      <c r="AA23" s="13"/>
      <c r="AB23" s="76"/>
      <c r="AC23" s="13">
        <v>2454270.63</v>
      </c>
      <c r="AD23" s="13">
        <v>140000</v>
      </c>
      <c r="AE23" s="13"/>
      <c r="AF23" s="13">
        <f>Project_List[[#This Row],[Professional Service Agreement (PSA) Amount]]+Project_List[[#This Row],[Engineer''s Est]]+Project_List[[#This Row],[Estimated COA
Engineering / 
Admin]]</f>
        <v>2925714.23</v>
      </c>
      <c r="AG23" s="13">
        <f>Project_List[[#This Row],[Professional Service Agreement (PSA) Amount]]+Project_List[[#This Row],[Final Construction Costs]]+Project_List[[#This Row],[Estimated COA
Engineering / 
Admin]]</f>
        <v>2827670.63</v>
      </c>
      <c r="AH23" s="13">
        <f>Project_List[[#This Row],[Overall Budget]]-Project_List[[#This Row],[Total Anticipated Costs (PSA+Est+COA Est)]]-Project_List[[#This Row],[Anticipated Costs Unincombered]]</f>
        <v>174285.77000000002</v>
      </c>
      <c r="AI23" s="5" t="s">
        <v>13</v>
      </c>
      <c r="AJ23" s="32">
        <v>0</v>
      </c>
      <c r="AK23" s="32" t="s">
        <v>13</v>
      </c>
      <c r="AL23" s="1">
        <v>0</v>
      </c>
      <c r="AW23" s="41"/>
    </row>
    <row r="24" spans="1:49" ht="30" x14ac:dyDescent="0.25">
      <c r="A24" s="1" t="s">
        <v>254</v>
      </c>
      <c r="B24" s="6">
        <v>30</v>
      </c>
      <c r="C24" s="27" t="str">
        <f>LOOKUP(Project_List[[#This Row],[Fund No.]],'Code Lookup'!A$9:A$53,'Code Lookup'!B$9:B$53)</f>
        <v>Local Option Sales Tax</v>
      </c>
      <c r="D24" s="1" t="s">
        <v>30</v>
      </c>
      <c r="E24" s="29" t="s">
        <v>188</v>
      </c>
      <c r="F24" s="19" t="s">
        <v>60</v>
      </c>
      <c r="G24" s="1" t="s">
        <v>186</v>
      </c>
      <c r="H24" s="1" t="s">
        <v>49</v>
      </c>
      <c r="I24" s="32">
        <v>80000</v>
      </c>
      <c r="J24" s="28">
        <v>61756</v>
      </c>
      <c r="K24" s="1" t="s">
        <v>45</v>
      </c>
      <c r="L24" s="13">
        <v>0</v>
      </c>
      <c r="M24" s="13">
        <v>0</v>
      </c>
      <c r="N24" s="1" t="s">
        <v>254</v>
      </c>
      <c r="O24" s="1" t="s">
        <v>254</v>
      </c>
      <c r="P24" s="37">
        <v>45392</v>
      </c>
      <c r="Q24" s="37">
        <v>45672</v>
      </c>
      <c r="R24" s="37" t="s">
        <v>257</v>
      </c>
      <c r="S24" s="37">
        <v>45688</v>
      </c>
      <c r="T24" s="1" t="s">
        <v>11</v>
      </c>
      <c r="U24" s="2" t="s">
        <v>4</v>
      </c>
      <c r="V24" s="1" t="s">
        <v>12</v>
      </c>
      <c r="W24" s="1" t="s">
        <v>13</v>
      </c>
      <c r="X24" s="28" t="s">
        <v>13</v>
      </c>
      <c r="Y24" s="13">
        <v>80000</v>
      </c>
      <c r="Z24" s="13">
        <v>80000</v>
      </c>
      <c r="AA24" s="13"/>
      <c r="AB24" s="76"/>
      <c r="AC24" s="13">
        <v>80000</v>
      </c>
      <c r="AD24" s="13"/>
      <c r="AE24" s="13"/>
      <c r="AF24" s="13">
        <f>Project_List[[#This Row],[Professional Service Agreement (PSA) Amount]]+Project_List[[#This Row],[Engineer''s Est]]+Project_List[[#This Row],[Estimated COA
Engineering / 
Admin]]</f>
        <v>80000</v>
      </c>
      <c r="AG24" s="13">
        <f>Project_List[[#This Row],[Professional Service Agreement (PSA) Amount]]+Project_List[[#This Row],[Final Construction Costs]]+Project_List[[#This Row],[Estimated COA
Engineering / 
Admin]]</f>
        <v>80000</v>
      </c>
      <c r="AH24" s="13">
        <f>Project_List[[#This Row],[Overall Budget]]-Project_List[[#This Row],[Total Anticipated Costs (PSA+Est+COA Est)]]-Project_List[[#This Row],[Anticipated Costs Unincombered]]</f>
        <v>0</v>
      </c>
      <c r="AI24" s="1" t="s">
        <v>13</v>
      </c>
      <c r="AJ24" s="40">
        <v>0</v>
      </c>
      <c r="AK24" s="32" t="s">
        <v>13</v>
      </c>
      <c r="AL24" s="1">
        <v>1</v>
      </c>
      <c r="AW24" s="41"/>
    </row>
    <row r="25" spans="1:49" ht="75" x14ac:dyDescent="0.25">
      <c r="A25" s="1" t="s">
        <v>254</v>
      </c>
      <c r="B25" s="6">
        <v>510</v>
      </c>
      <c r="C25" s="27" t="str">
        <f>LOOKUP(Project_List[[#This Row],[Fund No.]],'Code Lookup'!A$9:A$53,'Code Lookup'!B$9:B$53)</f>
        <v>Water Utility</v>
      </c>
      <c r="D25" s="6" t="s">
        <v>64</v>
      </c>
      <c r="E25" s="29" t="s">
        <v>55</v>
      </c>
      <c r="F25" s="19" t="s">
        <v>90</v>
      </c>
      <c r="G25" s="1" t="s">
        <v>194</v>
      </c>
      <c r="H25" s="1" t="s">
        <v>49</v>
      </c>
      <c r="J25" s="28">
        <v>61160</v>
      </c>
      <c r="K25" s="1" t="s">
        <v>8</v>
      </c>
      <c r="L25" s="13">
        <v>0</v>
      </c>
      <c r="M25" s="13">
        <v>0</v>
      </c>
      <c r="N25" s="1" t="s">
        <v>255</v>
      </c>
      <c r="O25" s="1" t="s">
        <v>255</v>
      </c>
      <c r="P25" s="37">
        <v>45017</v>
      </c>
      <c r="Q25" s="37">
        <v>45350</v>
      </c>
      <c r="R25" s="37" t="s">
        <v>256</v>
      </c>
      <c r="S25" s="37">
        <v>45444</v>
      </c>
      <c r="T25" s="1" t="s">
        <v>7</v>
      </c>
      <c r="U25" s="2" t="s">
        <v>8</v>
      </c>
      <c r="V25" s="1" t="s">
        <v>9</v>
      </c>
      <c r="W25" s="1" t="s">
        <v>10</v>
      </c>
      <c r="X25" s="1" t="s">
        <v>10</v>
      </c>
      <c r="Y25" s="13">
        <v>2001096</v>
      </c>
      <c r="Z25" s="13">
        <v>2286813</v>
      </c>
      <c r="AA25" s="13"/>
      <c r="AB25" s="76"/>
      <c r="AC25" s="13">
        <v>2347765.5099999998</v>
      </c>
      <c r="AD25" s="13"/>
      <c r="AE25" s="13"/>
      <c r="AF25" s="13">
        <f>Project_List[[#This Row],[Professional Service Agreement (PSA) Amount]]+Project_List[[#This Row],[Engineer''s Est]]+Project_List[[#This Row],[Estimated COA
Engineering / 
Admin]]</f>
        <v>2001096</v>
      </c>
      <c r="AG25" s="13">
        <f>Project_List[[#This Row],[Professional Service Agreement (PSA) Amount]]+Project_List[[#This Row],[Final Construction Costs]]+Project_List[[#This Row],[Estimated COA
Engineering / 
Admin]]</f>
        <v>2347765.5099999998</v>
      </c>
      <c r="AH25" s="13">
        <f>Project_List[[#This Row],[Overall Budget]]-Project_List[[#This Row],[Total Anticipated Costs (PSA+Est+COA Est)]]-Project_List[[#This Row],[Anticipated Costs Unincombered]]</f>
        <v>-2001096</v>
      </c>
      <c r="AI25" s="89" t="s">
        <v>10</v>
      </c>
      <c r="AJ25" s="40"/>
      <c r="AK25" s="36" t="s">
        <v>10</v>
      </c>
      <c r="AL25" s="1">
        <v>1</v>
      </c>
      <c r="AW25" s="41"/>
    </row>
    <row r="26" spans="1:49" ht="30" x14ac:dyDescent="0.25">
      <c r="A26" s="1" t="s">
        <v>254</v>
      </c>
      <c r="B26" s="1">
        <v>380</v>
      </c>
      <c r="C26" s="27" t="str">
        <f>LOOKUP(Project_List[[#This Row],[Fund No.]],'Code Lookup'!A$9:A$53,'Code Lookup'!B$9:B$53)</f>
        <v>2019/20 GO Bonds</v>
      </c>
      <c r="D26" s="1" t="s">
        <v>30</v>
      </c>
      <c r="E26" s="28" t="s">
        <v>241</v>
      </c>
      <c r="F26" s="1" t="s">
        <v>17</v>
      </c>
      <c r="G26" s="1" t="s">
        <v>157</v>
      </c>
      <c r="H26" s="1" t="s">
        <v>49</v>
      </c>
      <c r="J26" s="28">
        <v>60632</v>
      </c>
      <c r="K26" s="1" t="s">
        <v>240</v>
      </c>
      <c r="L26" s="13"/>
      <c r="M26" s="13"/>
      <c r="N26" s="1" t="s">
        <v>254</v>
      </c>
      <c r="O26" s="1" t="s">
        <v>254</v>
      </c>
      <c r="P26" s="37">
        <v>44774</v>
      </c>
      <c r="Q26" s="37">
        <v>45455</v>
      </c>
      <c r="R26" s="37" t="s">
        <v>256</v>
      </c>
      <c r="S26" s="37">
        <v>45291</v>
      </c>
      <c r="T26" s="1" t="s">
        <v>3</v>
      </c>
      <c r="U26" s="1" t="s">
        <v>0</v>
      </c>
      <c r="V26" s="1" t="s">
        <v>12</v>
      </c>
      <c r="W26" s="1" t="s">
        <v>13</v>
      </c>
      <c r="X26" s="28" t="s">
        <v>10</v>
      </c>
      <c r="Y26" s="13">
        <v>2312761.2999999998</v>
      </c>
      <c r="Z26" s="13">
        <v>2217358.6</v>
      </c>
      <c r="AA26" s="13"/>
      <c r="AB26" s="76"/>
      <c r="AC26" s="13">
        <v>3229306.66</v>
      </c>
      <c r="AD26" s="13"/>
      <c r="AE26" s="13"/>
      <c r="AF26" s="13">
        <f>Project_List[[#This Row],[Professional Service Agreement (PSA) Amount]]+Project_List[[#This Row],[Engineer''s Est]]+Project_List[[#This Row],[Estimated COA
Engineering / 
Admin]]</f>
        <v>2312761.2999999998</v>
      </c>
      <c r="AG26" s="13">
        <f>Project_List[[#This Row],[Professional Service Agreement (PSA) Amount]]+Project_List[[#This Row],[Final Construction Costs]]+Project_List[[#This Row],[Estimated COA
Engineering / 
Admin]]</f>
        <v>3229306.66</v>
      </c>
      <c r="AH26" s="13">
        <f>Project_List[[#This Row],[Overall Budget]]-Project_List[[#This Row],[Total Anticipated Costs (PSA+Est+COA Est)]]-Project_List[[#This Row],[Anticipated Costs Unincombered]]</f>
        <v>-2312761.2999999998</v>
      </c>
      <c r="AI26" s="1" t="s">
        <v>10</v>
      </c>
      <c r="AJ26" s="40"/>
      <c r="AK26" s="36" t="s">
        <v>10</v>
      </c>
      <c r="AL26" s="1">
        <v>0</v>
      </c>
      <c r="AW26" s="41"/>
    </row>
    <row r="27" spans="1:49" ht="30" x14ac:dyDescent="0.25">
      <c r="A27" s="1" t="s">
        <v>254</v>
      </c>
      <c r="B27" s="1">
        <v>510</v>
      </c>
      <c r="C27" s="27" t="str">
        <f>LOOKUP(Project_List[[#This Row],[Fund No.]],'Code Lookup'!A$9:A$53,'Code Lookup'!B$9:B$53)</f>
        <v>Water Utility</v>
      </c>
      <c r="D27" s="1" t="s">
        <v>64</v>
      </c>
      <c r="E27" s="28" t="s">
        <v>55</v>
      </c>
      <c r="F27" s="19" t="s">
        <v>90</v>
      </c>
      <c r="G27" s="1" t="s">
        <v>150</v>
      </c>
      <c r="H27" s="32" t="s">
        <v>49</v>
      </c>
      <c r="I27" s="32">
        <v>500000</v>
      </c>
      <c r="J27" s="28">
        <v>60633</v>
      </c>
      <c r="K27" s="8" t="s">
        <v>29</v>
      </c>
      <c r="L27" s="12">
        <v>0</v>
      </c>
      <c r="M27" s="12">
        <v>0</v>
      </c>
      <c r="N27" s="1" t="s">
        <v>255</v>
      </c>
      <c r="O27" s="1" t="s">
        <v>255</v>
      </c>
      <c r="P27" s="37">
        <v>44743</v>
      </c>
      <c r="Q27" s="37">
        <v>44925</v>
      </c>
      <c r="R27" s="37" t="s">
        <v>255</v>
      </c>
      <c r="S27" s="37">
        <v>44925</v>
      </c>
      <c r="T27" s="1" t="s">
        <v>3</v>
      </c>
      <c r="U27" s="32" t="s">
        <v>0</v>
      </c>
      <c r="V27" s="1" t="s">
        <v>18</v>
      </c>
      <c r="W27" s="1" t="s">
        <v>10</v>
      </c>
      <c r="X27" s="1" t="s">
        <v>10</v>
      </c>
      <c r="Y27" s="13">
        <v>425400</v>
      </c>
      <c r="Z27" s="13">
        <v>404802.2</v>
      </c>
      <c r="AA27" s="13"/>
      <c r="AB27" s="76"/>
      <c r="AC27" s="13">
        <v>388536.86</v>
      </c>
      <c r="AD27" s="13"/>
      <c r="AE27" s="13"/>
      <c r="AF27" s="13">
        <f>Project_List[[#This Row],[Professional Service Agreement (PSA) Amount]]+Project_List[[#This Row],[Engineer''s Est]]+Project_List[[#This Row],[Estimated COA
Engineering / 
Admin]]</f>
        <v>425400</v>
      </c>
      <c r="AG27" s="13">
        <f>Project_List[[#This Row],[Professional Service Agreement (PSA) Amount]]+Project_List[[#This Row],[Final Construction Costs]]+Project_List[[#This Row],[Estimated COA
Engineering / 
Admin]]</f>
        <v>388536.86</v>
      </c>
      <c r="AH27" s="13">
        <f>Project_List[[#This Row],[Overall Budget]]-Project_List[[#This Row],[Total Anticipated Costs (PSA+Est+COA Est)]]-Project_List[[#This Row],[Anticipated Costs Unincombered]]</f>
        <v>74600</v>
      </c>
      <c r="AI27" s="2" t="s">
        <v>10</v>
      </c>
      <c r="AJ27" s="31"/>
      <c r="AK27" s="36" t="s">
        <v>10</v>
      </c>
      <c r="AL27" s="1">
        <v>0</v>
      </c>
      <c r="AW27" s="41"/>
    </row>
    <row r="28" spans="1:49" ht="30" x14ac:dyDescent="0.25">
      <c r="A28" s="1" t="s">
        <v>254</v>
      </c>
      <c r="B28" s="6">
        <v>320</v>
      </c>
      <c r="C28" s="27" t="str">
        <f>LOOKUP(Project_List[[#This Row],[Fund No.]],'Code Lookup'!A$9:A$53,'Code Lookup'!B$9:B$53)</f>
        <v>Street Construction</v>
      </c>
      <c r="D28" s="1" t="s">
        <v>30</v>
      </c>
      <c r="E28" s="29" t="s">
        <v>187</v>
      </c>
      <c r="F28" s="19" t="s">
        <v>60</v>
      </c>
      <c r="G28" s="1" t="s">
        <v>186</v>
      </c>
      <c r="H28" s="1" t="s">
        <v>49</v>
      </c>
      <c r="I28" s="32">
        <v>1600000</v>
      </c>
      <c r="J28" s="28">
        <v>61756</v>
      </c>
      <c r="K28" s="1" t="s">
        <v>45</v>
      </c>
      <c r="L28" s="13">
        <v>0</v>
      </c>
      <c r="M28" s="13"/>
      <c r="N28" s="1" t="s">
        <v>254</v>
      </c>
      <c r="O28" s="1" t="s">
        <v>254</v>
      </c>
      <c r="P28" s="37">
        <v>45392</v>
      </c>
      <c r="Q28" s="37">
        <v>45672</v>
      </c>
      <c r="R28" s="37" t="s">
        <v>257</v>
      </c>
      <c r="S28" s="37">
        <v>45688</v>
      </c>
      <c r="T28" s="1" t="s">
        <v>11</v>
      </c>
      <c r="U28" s="2" t="s">
        <v>4</v>
      </c>
      <c r="V28" s="1" t="s">
        <v>12</v>
      </c>
      <c r="W28" s="1" t="s">
        <v>13</v>
      </c>
      <c r="X28" s="28" t="s">
        <v>13</v>
      </c>
      <c r="Y28" s="13">
        <v>1600000</v>
      </c>
      <c r="Z28" s="13">
        <v>1600000</v>
      </c>
      <c r="AA28" s="13"/>
      <c r="AB28" s="76"/>
      <c r="AC28" s="13">
        <v>1600000</v>
      </c>
      <c r="AD28" s="13"/>
      <c r="AE28" s="13"/>
      <c r="AF28" s="13">
        <f>Project_List[[#This Row],[Professional Service Agreement (PSA) Amount]]+Project_List[[#This Row],[Engineer''s Est]]+Project_List[[#This Row],[Estimated COA
Engineering / 
Admin]]</f>
        <v>1600000</v>
      </c>
      <c r="AG28" s="13">
        <f>Project_List[[#This Row],[Professional Service Agreement (PSA) Amount]]+Project_List[[#This Row],[Final Construction Costs]]+Project_List[[#This Row],[Estimated COA
Engineering / 
Admin]]</f>
        <v>1600000</v>
      </c>
      <c r="AH28" s="13">
        <f>Project_List[[#This Row],[Overall Budget]]-Project_List[[#This Row],[Total Anticipated Costs (PSA+Est+COA Est)]]-Project_List[[#This Row],[Anticipated Costs Unincombered]]</f>
        <v>0</v>
      </c>
      <c r="AI28" s="1" t="s">
        <v>13</v>
      </c>
      <c r="AJ28" s="40">
        <v>0</v>
      </c>
      <c r="AK28" s="32" t="s">
        <v>13</v>
      </c>
      <c r="AL28" s="1">
        <v>0</v>
      </c>
      <c r="AW28" s="41"/>
    </row>
    <row r="29" spans="1:49" ht="30" x14ac:dyDescent="0.25">
      <c r="A29" s="1" t="s">
        <v>254</v>
      </c>
      <c r="B29" s="1">
        <v>30</v>
      </c>
      <c r="C29" s="28" t="str">
        <f>LOOKUP(Project_List[[#This Row],[Fund No.]],'Code Lookup'!A$9:A$53,'Code Lookup'!B$9:B$53)</f>
        <v>Local Option Sales Tax</v>
      </c>
      <c r="D29" s="1" t="s">
        <v>327</v>
      </c>
      <c r="E29" s="28" t="s">
        <v>243</v>
      </c>
      <c r="F29" s="1" t="s">
        <v>328</v>
      </c>
      <c r="G29" s="1" t="s">
        <v>157</v>
      </c>
      <c r="H29" s="1" t="s">
        <v>49</v>
      </c>
      <c r="J29" s="28">
        <v>60632</v>
      </c>
      <c r="K29" s="1" t="s">
        <v>240</v>
      </c>
      <c r="L29" s="13"/>
      <c r="M29" s="13"/>
      <c r="N29" s="1" t="s">
        <v>254</v>
      </c>
      <c r="O29" s="1" t="s">
        <v>254</v>
      </c>
      <c r="P29" s="37">
        <v>44774</v>
      </c>
      <c r="Q29" s="37">
        <v>45455</v>
      </c>
      <c r="R29" s="37" t="s">
        <v>256</v>
      </c>
      <c r="S29" s="37">
        <v>45291</v>
      </c>
      <c r="T29" s="1" t="s">
        <v>3</v>
      </c>
      <c r="U29" s="1" t="s">
        <v>0</v>
      </c>
      <c r="V29" s="1" t="s">
        <v>12</v>
      </c>
      <c r="W29" s="1" t="s">
        <v>13</v>
      </c>
      <c r="X29" s="1" t="s">
        <v>10</v>
      </c>
      <c r="Y29" s="13">
        <v>0</v>
      </c>
      <c r="Z29" s="13">
        <v>28600</v>
      </c>
      <c r="AA29" s="13"/>
      <c r="AB29" s="76"/>
      <c r="AC29" s="13">
        <v>28600</v>
      </c>
      <c r="AD29" s="13"/>
      <c r="AE29" s="13"/>
      <c r="AF29" s="13">
        <f>Project_List[[#This Row],[Professional Service Agreement (PSA) Amount]]+Project_List[[#This Row],[Engineer''s Est]]+Project_List[[#This Row],[Estimated COA
Engineering / 
Admin]]</f>
        <v>0</v>
      </c>
      <c r="AG29" s="13">
        <f>Project_List[[#This Row],[Professional Service Agreement (PSA) Amount]]+Project_List[[#This Row],[Final Construction Costs]]+Project_List[[#This Row],[Estimated COA
Engineering / 
Admin]]</f>
        <v>28600</v>
      </c>
      <c r="AH29" s="13">
        <f>Project_List[[#This Row],[Overall Budget]]-Project_List[[#This Row],[Total Anticipated Costs (PSA+Est+COA Est)]]-Project_List[[#This Row],[Anticipated Costs Unincombered]]</f>
        <v>0</v>
      </c>
      <c r="AI29" s="2" t="s">
        <v>10</v>
      </c>
      <c r="AJ29" s="40"/>
      <c r="AK29" s="36" t="s">
        <v>10</v>
      </c>
      <c r="AL29" s="1">
        <v>0</v>
      </c>
      <c r="AW29" s="41"/>
    </row>
    <row r="30" spans="1:49" ht="30" x14ac:dyDescent="0.25">
      <c r="A30" s="1" t="s">
        <v>254</v>
      </c>
      <c r="B30" s="1">
        <v>320</v>
      </c>
      <c r="C30" s="1" t="str">
        <f>LOOKUP(Project_List[[#This Row],[Fund No.]],'Code Lookup'!A$9:A$53,'Code Lookup'!B$9:B$53)</f>
        <v>Street Construction</v>
      </c>
      <c r="D30" s="1" t="s">
        <v>30</v>
      </c>
      <c r="E30" s="1" t="s">
        <v>242</v>
      </c>
      <c r="F30" s="1" t="s">
        <v>17</v>
      </c>
      <c r="G30" s="1" t="s">
        <v>157</v>
      </c>
      <c r="H30" s="1" t="s">
        <v>49</v>
      </c>
      <c r="J30" s="1">
        <v>60632</v>
      </c>
      <c r="K30" s="1" t="s">
        <v>240</v>
      </c>
      <c r="L30" s="13"/>
      <c r="M30" s="13"/>
      <c r="N30" s="1" t="s">
        <v>254</v>
      </c>
      <c r="O30" s="1" t="s">
        <v>254</v>
      </c>
      <c r="P30" s="37">
        <v>44774</v>
      </c>
      <c r="Q30" s="37">
        <v>45455</v>
      </c>
      <c r="R30" s="37" t="s">
        <v>256</v>
      </c>
      <c r="S30" s="37">
        <v>45291</v>
      </c>
      <c r="T30" s="1" t="s">
        <v>3</v>
      </c>
      <c r="U30" s="1" t="s">
        <v>0</v>
      </c>
      <c r="V30" s="1" t="s">
        <v>12</v>
      </c>
      <c r="W30" s="1" t="s">
        <v>13</v>
      </c>
      <c r="X30" s="28" t="s">
        <v>10</v>
      </c>
      <c r="Y30" s="13">
        <v>414953</v>
      </c>
      <c r="Z30" s="13">
        <v>442450.6</v>
      </c>
      <c r="AA30" s="13"/>
      <c r="AB30" s="76"/>
      <c r="AC30" s="13">
        <v>188372.75</v>
      </c>
      <c r="AD30" s="13"/>
      <c r="AE30" s="13"/>
      <c r="AF30" s="13">
        <f>Project_List[[#This Row],[Professional Service Agreement (PSA) Amount]]+Project_List[[#This Row],[Engineer''s Est]]+Project_List[[#This Row],[Estimated COA
Engineering / 
Admin]]</f>
        <v>414953</v>
      </c>
      <c r="AG30" s="13">
        <f>Project_List[[#This Row],[Professional Service Agreement (PSA) Amount]]+Project_List[[#This Row],[Final Construction Costs]]+Project_List[[#This Row],[Estimated COA
Engineering / 
Admin]]</f>
        <v>188372.75</v>
      </c>
      <c r="AH30" s="13">
        <f>Project_List[[#This Row],[Overall Budget]]-Project_List[[#This Row],[Total Anticipated Costs (PSA+Est+COA Est)]]-Project_List[[#This Row],[Anticipated Costs Unincombered]]</f>
        <v>-414953</v>
      </c>
      <c r="AI30" s="2" t="s">
        <v>10</v>
      </c>
      <c r="AJ30" s="32"/>
      <c r="AK30" s="36" t="s">
        <v>10</v>
      </c>
      <c r="AL30" s="1">
        <v>1</v>
      </c>
      <c r="AW30" s="41"/>
    </row>
    <row r="31" spans="1:49" ht="30" x14ac:dyDescent="0.25">
      <c r="A31" s="1" t="s">
        <v>254</v>
      </c>
      <c r="B31" s="1">
        <v>510</v>
      </c>
      <c r="C31" s="28" t="str">
        <f>LOOKUP(Project_List[[#This Row],[Fund No.]],'Code Lookup'!A$9:A$53,'Code Lookup'!B$9:B$53)</f>
        <v>Water Utility</v>
      </c>
      <c r="D31" s="1" t="s">
        <v>64</v>
      </c>
      <c r="E31" s="28" t="s">
        <v>55</v>
      </c>
      <c r="F31" s="19" t="s">
        <v>90</v>
      </c>
      <c r="G31" s="1" t="s">
        <v>157</v>
      </c>
      <c r="H31" s="1" t="s">
        <v>49</v>
      </c>
      <c r="J31" s="28">
        <v>60632</v>
      </c>
      <c r="K31" s="1" t="s">
        <v>240</v>
      </c>
      <c r="L31" s="13"/>
      <c r="M31" s="13"/>
      <c r="N31" s="1" t="s">
        <v>254</v>
      </c>
      <c r="O31" s="1" t="s">
        <v>254</v>
      </c>
      <c r="P31" s="37">
        <v>44774</v>
      </c>
      <c r="Q31" s="37">
        <v>45455</v>
      </c>
      <c r="R31" s="37" t="s">
        <v>256</v>
      </c>
      <c r="S31" s="37">
        <v>45291</v>
      </c>
      <c r="T31" s="1" t="s">
        <v>3</v>
      </c>
      <c r="U31" s="1" t="s">
        <v>0</v>
      </c>
      <c r="V31" s="1" t="s">
        <v>12</v>
      </c>
      <c r="W31" s="1" t="s">
        <v>13</v>
      </c>
      <c r="X31" s="1" t="s">
        <v>10</v>
      </c>
      <c r="Y31" s="13">
        <v>114000</v>
      </c>
      <c r="Z31" s="13">
        <v>166240</v>
      </c>
      <c r="AA31" s="13"/>
      <c r="AB31" s="76"/>
      <c r="AC31" s="13">
        <v>165000</v>
      </c>
      <c r="AD31" s="13"/>
      <c r="AE31" s="13"/>
      <c r="AF31" s="13">
        <f>Project_List[[#This Row],[Professional Service Agreement (PSA) Amount]]+Project_List[[#This Row],[Engineer''s Est]]+Project_List[[#This Row],[Estimated COA
Engineering / 
Admin]]</f>
        <v>114000</v>
      </c>
      <c r="AG31" s="13">
        <f>Project_List[[#This Row],[Professional Service Agreement (PSA) Amount]]+Project_List[[#This Row],[Final Construction Costs]]+Project_List[[#This Row],[Estimated COA
Engineering / 
Admin]]</f>
        <v>165000</v>
      </c>
      <c r="AH31" s="13">
        <f>Project_List[[#This Row],[Overall Budget]]-Project_List[[#This Row],[Total Anticipated Costs (PSA+Est+COA Est)]]-Project_List[[#This Row],[Anticipated Costs Unincombered]]</f>
        <v>-114000</v>
      </c>
      <c r="AI31" s="2" t="s">
        <v>10</v>
      </c>
      <c r="AJ31" s="40"/>
      <c r="AK31" s="36" t="s">
        <v>10</v>
      </c>
      <c r="AL31" s="1">
        <v>0</v>
      </c>
      <c r="AW31" s="41"/>
    </row>
    <row r="32" spans="1:49" ht="30" x14ac:dyDescent="0.25">
      <c r="A32" s="1" t="s">
        <v>254</v>
      </c>
      <c r="B32" s="6">
        <v>510</v>
      </c>
      <c r="C32" s="27" t="str">
        <f>LOOKUP(Project_List[[#This Row],[Fund No.]],'Code Lookup'!A$9:A$53,'Code Lookup'!B$9:B$53)</f>
        <v>Water Utility</v>
      </c>
      <c r="D32" s="6" t="s">
        <v>64</v>
      </c>
      <c r="E32" s="29" t="s">
        <v>55</v>
      </c>
      <c r="F32" s="19" t="s">
        <v>90</v>
      </c>
      <c r="G32" s="1" t="s">
        <v>149</v>
      </c>
      <c r="H32" s="1" t="s">
        <v>49</v>
      </c>
      <c r="J32" s="28">
        <v>61160</v>
      </c>
      <c r="K32" s="1" t="s">
        <v>8</v>
      </c>
      <c r="L32" s="13">
        <v>0</v>
      </c>
      <c r="M32" s="13">
        <v>0</v>
      </c>
      <c r="N32" s="1" t="s">
        <v>255</v>
      </c>
      <c r="O32" s="1" t="s">
        <v>255</v>
      </c>
      <c r="P32" s="37">
        <v>45017</v>
      </c>
      <c r="Q32" s="37">
        <v>45350</v>
      </c>
      <c r="R32" s="37" t="s">
        <v>256</v>
      </c>
      <c r="S32" s="37">
        <v>45291</v>
      </c>
      <c r="T32" s="1" t="s">
        <v>268</v>
      </c>
      <c r="U32" s="2" t="s">
        <v>8</v>
      </c>
      <c r="V32" s="1" t="s">
        <v>9</v>
      </c>
      <c r="W32" s="1" t="s">
        <v>10</v>
      </c>
      <c r="X32" s="28" t="s">
        <v>10</v>
      </c>
      <c r="Y32" s="13">
        <v>2001096</v>
      </c>
      <c r="Z32" s="13">
        <v>2286813.7999999998</v>
      </c>
      <c r="AA32" s="13"/>
      <c r="AB32" s="76"/>
      <c r="AC32" s="13">
        <v>2347765.5099999998</v>
      </c>
      <c r="AD32" s="13"/>
      <c r="AE32" s="13"/>
      <c r="AF32" s="13">
        <f>Project_List[[#This Row],[Professional Service Agreement (PSA) Amount]]+Project_List[[#This Row],[Engineer''s Est]]+Project_List[[#This Row],[Estimated COA
Engineering / 
Admin]]</f>
        <v>2001096</v>
      </c>
      <c r="AG32" s="13">
        <f>Project_List[[#This Row],[Professional Service Agreement (PSA) Amount]]+Project_List[[#This Row],[Final Construction Costs]]+Project_List[[#This Row],[Estimated COA
Engineering / 
Admin]]</f>
        <v>2347765.5099999998</v>
      </c>
      <c r="AH32" s="13">
        <f>Project_List[[#This Row],[Overall Budget]]-Project_List[[#This Row],[Total Anticipated Costs (PSA+Est+COA Est)]]-Project_List[[#This Row],[Anticipated Costs Unincombered]]</f>
        <v>-2001096</v>
      </c>
      <c r="AI32" s="1" t="s">
        <v>10</v>
      </c>
      <c r="AJ32" s="40">
        <v>0</v>
      </c>
      <c r="AK32" s="36" t="s">
        <v>10</v>
      </c>
      <c r="AL32" s="1">
        <v>1</v>
      </c>
      <c r="AW32" s="41"/>
    </row>
    <row r="33" spans="1:49" ht="30" x14ac:dyDescent="0.25">
      <c r="A33" s="1" t="s">
        <v>254</v>
      </c>
      <c r="B33" s="1">
        <v>382</v>
      </c>
      <c r="C33" s="2" t="str">
        <f>LOOKUP(Project_List[[#This Row],[Fund No.]],'Code Lookup'!A$9:A$53,'Code Lookup'!B$9:B$53)</f>
        <v>2021/22 GO Bonds</v>
      </c>
      <c r="D33" s="1" t="s">
        <v>30</v>
      </c>
      <c r="E33" s="1" t="s">
        <v>127</v>
      </c>
      <c r="F33" s="18" t="s">
        <v>316</v>
      </c>
      <c r="G33" s="1" t="s">
        <v>150</v>
      </c>
      <c r="H33" s="1" t="s">
        <v>49</v>
      </c>
      <c r="I33" s="32">
        <v>750000</v>
      </c>
      <c r="J33" s="1">
        <v>60633</v>
      </c>
      <c r="K33" s="1" t="s">
        <v>29</v>
      </c>
      <c r="L33" s="13">
        <v>0</v>
      </c>
      <c r="M33" s="13">
        <v>0</v>
      </c>
      <c r="N33" s="1" t="s">
        <v>254</v>
      </c>
      <c r="O33" s="1" t="s">
        <v>254</v>
      </c>
      <c r="P33" s="37">
        <v>44743</v>
      </c>
      <c r="Q33" s="37">
        <v>44925</v>
      </c>
      <c r="R33" s="37" t="s">
        <v>255</v>
      </c>
      <c r="S33" s="37">
        <v>44925</v>
      </c>
      <c r="T33" s="1" t="s">
        <v>3</v>
      </c>
      <c r="U33" s="1" t="s">
        <v>0</v>
      </c>
      <c r="V33" s="1" t="s">
        <v>18</v>
      </c>
      <c r="W33" s="1" t="s">
        <v>10</v>
      </c>
      <c r="X33" s="1" t="s">
        <v>10</v>
      </c>
      <c r="Y33" s="13">
        <v>600922.5</v>
      </c>
      <c r="Z33" s="13">
        <v>585982.93999999994</v>
      </c>
      <c r="AA33" s="13"/>
      <c r="AB33" s="76"/>
      <c r="AC33" s="13">
        <v>591963.48</v>
      </c>
      <c r="AD33" s="13"/>
      <c r="AE33" s="13"/>
      <c r="AF33" s="13">
        <f>Project_List[[#This Row],[Professional Service Agreement (PSA) Amount]]+Project_List[[#This Row],[Engineer''s Est]]+Project_List[[#This Row],[Estimated COA
Engineering / 
Admin]]</f>
        <v>600922.5</v>
      </c>
      <c r="AG33" s="13">
        <f>Project_List[[#This Row],[Professional Service Agreement (PSA) Amount]]+Project_List[[#This Row],[Final Construction Costs]]+Project_List[[#This Row],[Estimated COA
Engineering / 
Admin]]</f>
        <v>591963.48</v>
      </c>
      <c r="AH33" s="13">
        <f>Project_List[[#This Row],[Overall Budget]]-Project_List[[#This Row],[Total Anticipated Costs (PSA+Est+COA Est)]]-Project_List[[#This Row],[Anticipated Costs Unincombered]]</f>
        <v>149077.5</v>
      </c>
      <c r="AI33" s="1" t="s">
        <v>10</v>
      </c>
      <c r="AJ33" s="32"/>
      <c r="AK33" s="36" t="s">
        <v>10</v>
      </c>
      <c r="AL33" s="1">
        <v>1</v>
      </c>
      <c r="AW33" s="41"/>
    </row>
    <row r="34" spans="1:49" ht="30" x14ac:dyDescent="0.25">
      <c r="A34" s="1" t="s">
        <v>254</v>
      </c>
      <c r="B34" s="6">
        <v>382</v>
      </c>
      <c r="C34" s="2" t="str">
        <f>LOOKUP(Project_List[[#This Row],[Fund No.]],'Code Lookup'!A$9:A$53,'Code Lookup'!B$9:B$53)</f>
        <v>2021/22 GO Bonds</v>
      </c>
      <c r="D34" s="1" t="s">
        <v>30</v>
      </c>
      <c r="E34" s="6" t="s">
        <v>181</v>
      </c>
      <c r="F34" s="19" t="s">
        <v>314</v>
      </c>
      <c r="G34" s="6" t="s">
        <v>146</v>
      </c>
      <c r="H34" s="1" t="s">
        <v>49</v>
      </c>
      <c r="J34" s="1">
        <v>60574</v>
      </c>
      <c r="K34" s="1" t="s">
        <v>4</v>
      </c>
      <c r="L34" s="13">
        <v>0</v>
      </c>
      <c r="M34" s="13">
        <v>0</v>
      </c>
      <c r="N34" s="1" t="s">
        <v>254</v>
      </c>
      <c r="O34" s="1" t="s">
        <v>254</v>
      </c>
      <c r="P34" s="37">
        <v>44743</v>
      </c>
      <c r="Q34" s="37">
        <v>45202</v>
      </c>
      <c r="R34" s="37" t="s">
        <v>256</v>
      </c>
      <c r="S34" s="37">
        <v>45291</v>
      </c>
      <c r="T34" s="1" t="s">
        <v>3</v>
      </c>
      <c r="U34" s="1" t="s">
        <v>4</v>
      </c>
      <c r="V34" s="1" t="s">
        <v>18</v>
      </c>
      <c r="W34" s="1" t="s">
        <v>10</v>
      </c>
      <c r="X34" s="28" t="s">
        <v>10</v>
      </c>
      <c r="Y34" s="13">
        <v>1916748.1800000002</v>
      </c>
      <c r="Z34" s="13">
        <v>2057300.4300000002</v>
      </c>
      <c r="AA34" s="13"/>
      <c r="AB34" s="76"/>
      <c r="AC34" s="13">
        <v>2163578.36</v>
      </c>
      <c r="AD34" s="13"/>
      <c r="AE34" s="13"/>
      <c r="AF34" s="13">
        <f>Project_List[[#This Row],[Professional Service Agreement (PSA) Amount]]+Project_List[[#This Row],[Engineer''s Est]]+Project_List[[#This Row],[Estimated COA
Engineering / 
Admin]]</f>
        <v>1916748.1800000002</v>
      </c>
      <c r="AG34" s="13">
        <f>Project_List[[#This Row],[Professional Service Agreement (PSA) Amount]]+Project_List[[#This Row],[Final Construction Costs]]+Project_List[[#This Row],[Estimated COA
Engineering / 
Admin]]</f>
        <v>2163578.36</v>
      </c>
      <c r="AH34" s="13">
        <f>Project_List[[#This Row],[Overall Budget]]-Project_List[[#This Row],[Total Anticipated Costs (PSA+Est+COA Est)]]-Project_List[[#This Row],[Anticipated Costs Unincombered]]</f>
        <v>-1916748.1800000002</v>
      </c>
      <c r="AI34" s="1" t="s">
        <v>10</v>
      </c>
      <c r="AJ34" s="32"/>
      <c r="AK34" s="36" t="s">
        <v>10</v>
      </c>
      <c r="AL34" s="1">
        <v>0</v>
      </c>
      <c r="AW34" s="41"/>
    </row>
    <row r="35" spans="1:49" ht="30" x14ac:dyDescent="0.25">
      <c r="A35" s="1" t="s">
        <v>254</v>
      </c>
      <c r="B35" s="6">
        <v>320</v>
      </c>
      <c r="C35" s="2" t="str">
        <f>LOOKUP(Project_List[[#This Row],[Fund No.]],'Code Lookup'!A$9:A$53,'Code Lookup'!B$9:B$53)</f>
        <v>Street Construction</v>
      </c>
      <c r="D35" s="1" t="s">
        <v>30</v>
      </c>
      <c r="E35" s="6" t="s">
        <v>173</v>
      </c>
      <c r="F35" s="19" t="s">
        <v>61</v>
      </c>
      <c r="G35" s="1" t="s">
        <v>175</v>
      </c>
      <c r="H35" s="1" t="s">
        <v>49</v>
      </c>
      <c r="J35" s="1">
        <v>60733</v>
      </c>
      <c r="K35" s="1" t="s">
        <v>53</v>
      </c>
      <c r="L35" s="13">
        <f>82125*0.629318</f>
        <v>51682.740750000004</v>
      </c>
      <c r="M35" s="13">
        <f>82125*0.629318</f>
        <v>51682.740750000004</v>
      </c>
      <c r="N35" s="1" t="s">
        <v>254</v>
      </c>
      <c r="O35" s="1" t="s">
        <v>254</v>
      </c>
      <c r="P35" s="37">
        <v>44743</v>
      </c>
      <c r="Q35" s="37">
        <v>45033</v>
      </c>
      <c r="R35" s="37" t="s">
        <v>255</v>
      </c>
      <c r="S35" s="37">
        <v>44926</v>
      </c>
      <c r="T35" s="1" t="s">
        <v>14</v>
      </c>
      <c r="U35" s="2" t="s">
        <v>0</v>
      </c>
      <c r="V35" s="1" t="s">
        <v>12</v>
      </c>
      <c r="W35" s="1" t="s">
        <v>13</v>
      </c>
      <c r="X35" s="28" t="s">
        <v>10</v>
      </c>
      <c r="Y35" s="13">
        <f>1201406.5*0.629138</f>
        <v>755850.48259699997</v>
      </c>
      <c r="Z35" s="13">
        <f>1430118.6*0.629318</f>
        <v>899999.37711480015</v>
      </c>
      <c r="AA35" s="13"/>
      <c r="AB35" s="76"/>
      <c r="AC35" s="13">
        <f>1427992.7*0.629318</f>
        <v>898661.50997860008</v>
      </c>
      <c r="AD35" s="13"/>
      <c r="AE35" s="13"/>
      <c r="AF35" s="13">
        <f>Project_List[[#This Row],[Professional Service Agreement (PSA) Amount]]+Project_List[[#This Row],[Engineer''s Est]]+Project_List[[#This Row],[Estimated COA
Engineering / 
Admin]]</f>
        <v>807533.22334699996</v>
      </c>
      <c r="AG35" s="13">
        <f>Project_List[[#This Row],[Professional Service Agreement (PSA) Amount]]+Project_List[[#This Row],[Final Construction Costs]]+Project_List[[#This Row],[Estimated COA
Engineering / 
Admin]]</f>
        <v>950344.25072860008</v>
      </c>
      <c r="AH35" s="13">
        <f>Project_List[[#This Row],[Overall Budget]]-Project_List[[#This Row],[Total Anticipated Costs (PSA+Est+COA Est)]]-Project_List[[#This Row],[Anticipated Costs Unincombered]]</f>
        <v>-807533.22334699996</v>
      </c>
      <c r="AI35" s="1" t="s">
        <v>10</v>
      </c>
      <c r="AJ35" s="32"/>
      <c r="AK35" s="36" t="s">
        <v>10</v>
      </c>
      <c r="AL35" s="1">
        <v>1</v>
      </c>
      <c r="AW35" s="41"/>
    </row>
    <row r="36" spans="1:49" ht="30" x14ac:dyDescent="0.25">
      <c r="A36" s="1" t="s">
        <v>254</v>
      </c>
      <c r="B36" s="6">
        <v>382</v>
      </c>
      <c r="C36" s="2" t="str">
        <f>LOOKUP(Project_List[[#This Row],[Fund No.]],'Code Lookup'!A$9:A$53,'Code Lookup'!B$9:B$53)</f>
        <v>2021/22 GO Bonds</v>
      </c>
      <c r="D36" s="1" t="s">
        <v>30</v>
      </c>
      <c r="E36" s="6" t="s">
        <v>174</v>
      </c>
      <c r="F36" s="19" t="s">
        <v>61</v>
      </c>
      <c r="G36" s="1" t="s">
        <v>175</v>
      </c>
      <c r="H36" s="1" t="s">
        <v>49</v>
      </c>
      <c r="J36" s="1">
        <v>60733</v>
      </c>
      <c r="K36" s="1" t="s">
        <v>53</v>
      </c>
      <c r="L36" s="13">
        <f>82125*0.370682</f>
        <v>30442.259249999999</v>
      </c>
      <c r="M36" s="13">
        <f>82125*0.370682</f>
        <v>30442.259249999999</v>
      </c>
      <c r="N36" s="1" t="s">
        <v>254</v>
      </c>
      <c r="O36" s="1" t="s">
        <v>254</v>
      </c>
      <c r="P36" s="37">
        <v>44743</v>
      </c>
      <c r="Q36" s="37">
        <v>45033</v>
      </c>
      <c r="R36" s="37" t="s">
        <v>255</v>
      </c>
      <c r="S36" s="37">
        <v>44926</v>
      </c>
      <c r="T36" s="1" t="s">
        <v>14</v>
      </c>
      <c r="U36" s="2" t="s">
        <v>0</v>
      </c>
      <c r="V36" s="1" t="s">
        <v>12</v>
      </c>
      <c r="W36" s="1" t="s">
        <v>13</v>
      </c>
      <c r="X36" s="1" t="s">
        <v>10</v>
      </c>
      <c r="Y36" s="13">
        <f>1204406.5*0.370682</f>
        <v>446451.81023300003</v>
      </c>
      <c r="Z36" s="13">
        <f>1430118.6*0.370682</f>
        <v>530119.22288520006</v>
      </c>
      <c r="AA36" s="13"/>
      <c r="AB36" s="76"/>
      <c r="AC36" s="13">
        <f>1427992.7*0.370682</f>
        <v>529331.19002139999</v>
      </c>
      <c r="AD36" s="13"/>
      <c r="AE36" s="13"/>
      <c r="AF36" s="13">
        <f>Project_List[[#This Row],[Professional Service Agreement (PSA) Amount]]+Project_List[[#This Row],[Engineer''s Est]]+Project_List[[#This Row],[Estimated COA
Engineering / 
Admin]]</f>
        <v>476894.06948300003</v>
      </c>
      <c r="AG36" s="13">
        <f>Project_List[[#This Row],[Professional Service Agreement (PSA) Amount]]+Project_List[[#This Row],[Final Construction Costs]]+Project_List[[#This Row],[Estimated COA
Engineering / 
Admin]]</f>
        <v>559773.44927139999</v>
      </c>
      <c r="AH36" s="13">
        <f>Project_List[[#This Row],[Overall Budget]]-Project_List[[#This Row],[Total Anticipated Costs (PSA+Est+COA Est)]]-Project_List[[#This Row],[Anticipated Costs Unincombered]]</f>
        <v>-476894.06948300003</v>
      </c>
      <c r="AI36" s="1" t="s">
        <v>10</v>
      </c>
      <c r="AJ36" s="32"/>
      <c r="AK36" s="36" t="s">
        <v>10</v>
      </c>
      <c r="AL36" s="1">
        <v>0</v>
      </c>
      <c r="AW36" s="41"/>
    </row>
    <row r="37" spans="1:49" ht="30" x14ac:dyDescent="0.25">
      <c r="A37" s="1" t="s">
        <v>254</v>
      </c>
      <c r="B37" s="6">
        <v>382</v>
      </c>
      <c r="C37" s="2" t="str">
        <f>LOOKUP(Project_List[[#This Row],[Fund No.]],'Code Lookup'!A$9:A$53,'Code Lookup'!B$9:B$53)</f>
        <v>2021/22 GO Bonds</v>
      </c>
      <c r="D37" s="1" t="s">
        <v>30</v>
      </c>
      <c r="E37" s="6" t="s">
        <v>193</v>
      </c>
      <c r="F37" s="19" t="s">
        <v>317</v>
      </c>
      <c r="G37" s="1" t="s">
        <v>148</v>
      </c>
      <c r="H37" s="1" t="s">
        <v>49</v>
      </c>
      <c r="I37" s="32">
        <v>245000</v>
      </c>
      <c r="J37" s="1">
        <v>60316</v>
      </c>
      <c r="K37" s="1" t="s">
        <v>4</v>
      </c>
      <c r="L37" s="13">
        <v>0</v>
      </c>
      <c r="M37" s="13">
        <v>0</v>
      </c>
      <c r="N37" s="1" t="s">
        <v>254</v>
      </c>
      <c r="O37" s="1" t="s">
        <v>254</v>
      </c>
      <c r="P37" s="37">
        <v>44774</v>
      </c>
      <c r="Q37" s="37">
        <v>44852</v>
      </c>
      <c r="R37" s="37" t="s">
        <v>255</v>
      </c>
      <c r="S37" s="37">
        <v>44926</v>
      </c>
      <c r="T37" s="1" t="s">
        <v>11</v>
      </c>
      <c r="U37" s="2" t="s">
        <v>4</v>
      </c>
      <c r="V37" s="1" t="s">
        <v>12</v>
      </c>
      <c r="W37" s="1" t="s">
        <v>10</v>
      </c>
      <c r="X37" s="28" t="s">
        <v>10</v>
      </c>
      <c r="Y37" s="13">
        <v>134136.25</v>
      </c>
      <c r="Z37" s="13">
        <v>127952</v>
      </c>
      <c r="AA37" s="13"/>
      <c r="AB37" s="76"/>
      <c r="AC37" s="13">
        <v>128224.62</v>
      </c>
      <c r="AD37" s="13"/>
      <c r="AE37" s="13"/>
      <c r="AF37" s="13">
        <f>Project_List[[#This Row],[Professional Service Agreement (PSA) Amount]]+Project_List[[#This Row],[Engineer''s Est]]+Project_List[[#This Row],[Estimated COA
Engineering / 
Admin]]</f>
        <v>134136.25</v>
      </c>
      <c r="AG37" s="13">
        <f>Project_List[[#This Row],[Professional Service Agreement (PSA) Amount]]+Project_List[[#This Row],[Final Construction Costs]]+Project_List[[#This Row],[Estimated COA
Engineering / 
Admin]]</f>
        <v>128224.62</v>
      </c>
      <c r="AH37" s="13">
        <f>Project_List[[#This Row],[Overall Budget]]-Project_List[[#This Row],[Total Anticipated Costs (PSA+Est+COA Est)]]-Project_List[[#This Row],[Anticipated Costs Unincombered]]</f>
        <v>110863.75</v>
      </c>
      <c r="AI37" s="1" t="s">
        <v>10</v>
      </c>
      <c r="AJ37" s="32"/>
      <c r="AK37" s="36" t="s">
        <v>10</v>
      </c>
      <c r="AL37" s="1">
        <v>1</v>
      </c>
      <c r="AW37" s="41"/>
    </row>
    <row r="38" spans="1:49" ht="30" x14ac:dyDescent="0.25">
      <c r="A38" s="1" t="s">
        <v>254</v>
      </c>
      <c r="B38" s="6">
        <v>510</v>
      </c>
      <c r="C38" s="2" t="str">
        <f>LOOKUP(Project_List[[#This Row],[Fund No.]],'Code Lookup'!A$9:A$53,'Code Lookup'!B$9:B$53)</f>
        <v>Water Utility</v>
      </c>
      <c r="D38" s="1" t="s">
        <v>64</v>
      </c>
      <c r="E38" s="6" t="s">
        <v>184</v>
      </c>
      <c r="F38" s="19" t="s">
        <v>90</v>
      </c>
      <c r="G38" s="6" t="s">
        <v>182</v>
      </c>
      <c r="H38" s="1" t="s">
        <v>49</v>
      </c>
      <c r="I38" s="32">
        <v>75000</v>
      </c>
      <c r="J38" s="1">
        <v>61047</v>
      </c>
      <c r="K38" s="1" t="s">
        <v>4</v>
      </c>
      <c r="L38" s="13">
        <v>0</v>
      </c>
      <c r="M38" s="13">
        <v>0</v>
      </c>
      <c r="N38" s="1" t="s">
        <v>254</v>
      </c>
      <c r="O38" s="1" t="s">
        <v>254</v>
      </c>
      <c r="P38" s="37">
        <v>44805</v>
      </c>
      <c r="Q38" s="37">
        <v>44926</v>
      </c>
      <c r="R38" s="37" t="s">
        <v>255</v>
      </c>
      <c r="S38" s="37">
        <v>44926</v>
      </c>
      <c r="T38" s="1" t="s">
        <v>14</v>
      </c>
      <c r="U38" s="2" t="s">
        <v>4</v>
      </c>
      <c r="V38" s="1" t="s">
        <v>456</v>
      </c>
      <c r="W38" s="1" t="s">
        <v>10</v>
      </c>
      <c r="X38" s="1" t="s">
        <v>10</v>
      </c>
      <c r="Y38" s="13">
        <v>70690</v>
      </c>
      <c r="Z38" s="13">
        <v>74258</v>
      </c>
      <c r="AA38" s="13"/>
      <c r="AB38" s="76"/>
      <c r="AC38" s="13">
        <v>83085.5</v>
      </c>
      <c r="AD38" s="13"/>
      <c r="AE38" s="13"/>
      <c r="AF38" s="13">
        <f>Project_List[[#This Row],[Professional Service Agreement (PSA) Amount]]+Project_List[[#This Row],[Engineer''s Est]]+Project_List[[#This Row],[Estimated COA
Engineering / 
Admin]]</f>
        <v>70690</v>
      </c>
      <c r="AG38" s="13">
        <f>Project_List[[#This Row],[Professional Service Agreement (PSA) Amount]]+Project_List[[#This Row],[Final Construction Costs]]+Project_List[[#This Row],[Estimated COA
Engineering / 
Admin]]</f>
        <v>83085.5</v>
      </c>
      <c r="AH38" s="13">
        <f>Project_List[[#This Row],[Overall Budget]]-Project_List[[#This Row],[Total Anticipated Costs (PSA+Est+COA Est)]]-Project_List[[#This Row],[Anticipated Costs Unincombered]]</f>
        <v>4310</v>
      </c>
      <c r="AI38" s="1" t="s">
        <v>10</v>
      </c>
      <c r="AJ38" s="32"/>
      <c r="AK38" s="36" t="s">
        <v>10</v>
      </c>
      <c r="AL38" s="1">
        <v>1</v>
      </c>
      <c r="AW38" s="41"/>
    </row>
    <row r="39" spans="1:49" ht="90" x14ac:dyDescent="0.25">
      <c r="A39" s="1" t="s">
        <v>254</v>
      </c>
      <c r="B39" s="6">
        <v>382</v>
      </c>
      <c r="C39" s="2" t="str">
        <f>LOOKUP(Project_List[[#This Row],[Fund No.]],'Code Lookup'!A$9:A$53,'Code Lookup'!B$9:B$53)</f>
        <v>2021/22 GO Bonds</v>
      </c>
      <c r="D39" s="1" t="s">
        <v>30</v>
      </c>
      <c r="E39" s="6" t="s">
        <v>177</v>
      </c>
      <c r="F39" s="19" t="s">
        <v>63</v>
      </c>
      <c r="G39" s="1" t="s">
        <v>176</v>
      </c>
      <c r="H39" s="1" t="s">
        <v>49</v>
      </c>
      <c r="J39" s="1">
        <v>60457</v>
      </c>
      <c r="K39" s="1" t="s">
        <v>29</v>
      </c>
      <c r="L39" s="13">
        <v>0</v>
      </c>
      <c r="M39" s="13">
        <v>0</v>
      </c>
      <c r="N39" s="1" t="s">
        <v>254</v>
      </c>
      <c r="O39" s="1" t="s">
        <v>254</v>
      </c>
      <c r="P39" s="37">
        <v>44669</v>
      </c>
      <c r="Q39" s="37">
        <v>44883</v>
      </c>
      <c r="R39" s="37" t="s">
        <v>255</v>
      </c>
      <c r="S39" s="37">
        <v>44926</v>
      </c>
      <c r="T39" s="1" t="s">
        <v>11</v>
      </c>
      <c r="U39" s="1" t="s">
        <v>0</v>
      </c>
      <c r="V39" s="1" t="s">
        <v>18</v>
      </c>
      <c r="W39" s="1" t="s">
        <v>10</v>
      </c>
      <c r="X39" s="28" t="s">
        <v>10</v>
      </c>
      <c r="Y39" s="13">
        <v>1900297.52</v>
      </c>
      <c r="Z39" s="13">
        <v>2118380.02</v>
      </c>
      <c r="AA39" s="13"/>
      <c r="AB39" s="76"/>
      <c r="AC39" s="13">
        <v>1989436.7073125744</v>
      </c>
      <c r="AD39" s="13"/>
      <c r="AE39" s="13"/>
      <c r="AF39" s="13">
        <f>Project_List[[#This Row],[Professional Service Agreement (PSA) Amount]]+Project_List[[#This Row],[Engineer''s Est]]+Project_List[[#This Row],[Estimated COA
Engineering / 
Admin]]</f>
        <v>1900297.52</v>
      </c>
      <c r="AG39" s="13">
        <f>Project_List[[#This Row],[Professional Service Agreement (PSA) Amount]]+Project_List[[#This Row],[Final Construction Costs]]+Project_List[[#This Row],[Estimated COA
Engineering / 
Admin]]</f>
        <v>1989436.7073125744</v>
      </c>
      <c r="AH39" s="13">
        <f>Project_List[[#This Row],[Overall Budget]]-Project_List[[#This Row],[Total Anticipated Costs (PSA+Est+COA Est)]]-Project_List[[#This Row],[Anticipated Costs Unincombered]]</f>
        <v>-1900297.52</v>
      </c>
      <c r="AI39" s="1" t="s">
        <v>10</v>
      </c>
      <c r="AJ39" s="32"/>
      <c r="AK39" s="36" t="s">
        <v>10</v>
      </c>
      <c r="AL39" s="1">
        <v>0</v>
      </c>
      <c r="AW39" s="41"/>
    </row>
    <row r="40" spans="1:49" ht="30" x14ac:dyDescent="0.25">
      <c r="A40" s="1" t="s">
        <v>254</v>
      </c>
      <c r="B40" s="6">
        <v>382</v>
      </c>
      <c r="C40" s="2" t="str">
        <f>LOOKUP(Project_List[[#This Row],[Fund No.]],'Code Lookup'!A$9:A$53,'Code Lookup'!B$9:B$53)</f>
        <v>2021/22 GO Bonds</v>
      </c>
      <c r="D40" s="1" t="s">
        <v>30</v>
      </c>
      <c r="E40" s="6" t="s">
        <v>183</v>
      </c>
      <c r="F40" s="58" t="s">
        <v>60</v>
      </c>
      <c r="G40" s="6" t="s">
        <v>182</v>
      </c>
      <c r="H40" s="1" t="s">
        <v>49</v>
      </c>
      <c r="I40" s="32">
        <v>900000</v>
      </c>
      <c r="J40" s="1">
        <v>61047</v>
      </c>
      <c r="K40" s="1" t="s">
        <v>4</v>
      </c>
      <c r="L40" s="13">
        <v>0</v>
      </c>
      <c r="M40" s="13">
        <v>0</v>
      </c>
      <c r="N40" s="1" t="s">
        <v>254</v>
      </c>
      <c r="O40" s="1" t="s">
        <v>254</v>
      </c>
      <c r="P40" s="37">
        <v>44805</v>
      </c>
      <c r="Q40" s="37">
        <v>44926</v>
      </c>
      <c r="R40" s="37" t="s">
        <v>255</v>
      </c>
      <c r="S40" s="37">
        <v>44926</v>
      </c>
      <c r="T40" s="1" t="s">
        <v>14</v>
      </c>
      <c r="U40" s="2" t="s">
        <v>4</v>
      </c>
      <c r="V40" s="1" t="s">
        <v>456</v>
      </c>
      <c r="W40" s="1" t="s">
        <v>10</v>
      </c>
      <c r="X40" s="1" t="s">
        <v>10</v>
      </c>
      <c r="Y40" s="13">
        <v>622216.41</v>
      </c>
      <c r="Z40" s="13">
        <v>872793</v>
      </c>
      <c r="AA40" s="13"/>
      <c r="AB40" s="76"/>
      <c r="AC40" s="13">
        <v>776510.98</v>
      </c>
      <c r="AD40" s="13"/>
      <c r="AE40" s="13"/>
      <c r="AF40" s="13">
        <f>Project_List[[#This Row],[Professional Service Agreement (PSA) Amount]]+Project_List[[#This Row],[Engineer''s Est]]+Project_List[[#This Row],[Estimated COA
Engineering / 
Admin]]</f>
        <v>622216.41</v>
      </c>
      <c r="AG40" s="13">
        <f>Project_List[[#This Row],[Professional Service Agreement (PSA) Amount]]+Project_List[[#This Row],[Final Construction Costs]]+Project_List[[#This Row],[Estimated COA
Engineering / 
Admin]]</f>
        <v>776510.98</v>
      </c>
      <c r="AH40" s="13">
        <f>Project_List[[#This Row],[Overall Budget]]-Project_List[[#This Row],[Total Anticipated Costs (PSA+Est+COA Est)]]-Project_List[[#This Row],[Anticipated Costs Unincombered]]</f>
        <v>277783.58999999997</v>
      </c>
      <c r="AI40" s="1" t="s">
        <v>10</v>
      </c>
      <c r="AJ40" s="32"/>
      <c r="AK40" s="36" t="s">
        <v>10</v>
      </c>
      <c r="AL40" s="1">
        <v>0</v>
      </c>
      <c r="AW40" s="41"/>
    </row>
    <row r="41" spans="1:49" ht="90" x14ac:dyDescent="0.25">
      <c r="A41" s="1" t="s">
        <v>254</v>
      </c>
      <c r="B41" s="6">
        <v>30</v>
      </c>
      <c r="C41" s="2" t="str">
        <f>LOOKUP(Project_List[[#This Row],[Fund No.]],'Code Lookup'!A$9:A$53,'Code Lookup'!B$9:B$53)</f>
        <v>Local Option Sales Tax</v>
      </c>
      <c r="D41" s="1" t="s">
        <v>30</v>
      </c>
      <c r="E41" s="6" t="s">
        <v>179</v>
      </c>
      <c r="F41" s="19" t="s">
        <v>63</v>
      </c>
      <c r="G41" s="1" t="s">
        <v>176</v>
      </c>
      <c r="H41" s="1" t="s">
        <v>49</v>
      </c>
      <c r="J41" s="1">
        <v>60457</v>
      </c>
      <c r="K41" s="1" t="s">
        <v>29</v>
      </c>
      <c r="L41" s="13">
        <v>0</v>
      </c>
      <c r="M41" s="13">
        <v>0</v>
      </c>
      <c r="N41" s="1" t="s">
        <v>254</v>
      </c>
      <c r="O41" s="1" t="s">
        <v>254</v>
      </c>
      <c r="P41" s="37">
        <v>44669</v>
      </c>
      <c r="Q41" s="37">
        <v>44883</v>
      </c>
      <c r="R41" s="37" t="s">
        <v>255</v>
      </c>
      <c r="S41" s="37">
        <v>44926</v>
      </c>
      <c r="T41" s="1" t="s">
        <v>11</v>
      </c>
      <c r="U41" s="1" t="s">
        <v>0</v>
      </c>
      <c r="V41" s="1" t="s">
        <v>18</v>
      </c>
      <c r="W41" s="1" t="s">
        <v>10</v>
      </c>
      <c r="X41" s="28" t="s">
        <v>10</v>
      </c>
      <c r="Y41" s="13">
        <v>15000</v>
      </c>
      <c r="Z41" s="13">
        <v>15000</v>
      </c>
      <c r="AA41" s="13"/>
      <c r="AB41" s="76"/>
      <c r="AC41" s="13">
        <v>15000</v>
      </c>
      <c r="AD41" s="13"/>
      <c r="AE41" s="13"/>
      <c r="AF41" s="13">
        <f>Project_List[[#This Row],[Professional Service Agreement (PSA) Amount]]+Project_List[[#This Row],[Engineer''s Est]]+Project_List[[#This Row],[Estimated COA
Engineering / 
Admin]]</f>
        <v>15000</v>
      </c>
      <c r="AG41" s="13">
        <f>Project_List[[#This Row],[Professional Service Agreement (PSA) Amount]]+Project_List[[#This Row],[Final Construction Costs]]+Project_List[[#This Row],[Estimated COA
Engineering / 
Admin]]</f>
        <v>15000</v>
      </c>
      <c r="AH41" s="13">
        <f>Project_List[[#This Row],[Overall Budget]]-Project_List[[#This Row],[Total Anticipated Costs (PSA+Est+COA Est)]]-Project_List[[#This Row],[Anticipated Costs Unincombered]]</f>
        <v>-15000</v>
      </c>
      <c r="AI41" s="1" t="s">
        <v>10</v>
      </c>
      <c r="AJ41" s="32"/>
      <c r="AK41" s="36" t="s">
        <v>10</v>
      </c>
      <c r="AL41" s="1">
        <v>1</v>
      </c>
      <c r="AW41" s="41"/>
    </row>
    <row r="42" spans="1:49" ht="30" x14ac:dyDescent="0.25">
      <c r="A42" s="1" t="s">
        <v>254</v>
      </c>
      <c r="B42" s="1">
        <v>560</v>
      </c>
      <c r="C42" s="28" t="str">
        <f>LOOKUP(Project_List[[#This Row],[Fund No.]],'Code Lookup'!A$9:A$53,'Code Lookup'!B$9:B$53)</f>
        <v>Stormwater Utility</v>
      </c>
      <c r="D42" s="1" t="s">
        <v>68</v>
      </c>
      <c r="E42" s="28" t="s">
        <v>308</v>
      </c>
      <c r="F42" s="1" t="s">
        <v>309</v>
      </c>
      <c r="G42" s="1" t="s">
        <v>186</v>
      </c>
      <c r="H42" s="32" t="s">
        <v>49</v>
      </c>
      <c r="I42" s="32">
        <v>100000</v>
      </c>
      <c r="J42" s="28">
        <v>61756</v>
      </c>
      <c r="K42" s="8" t="s">
        <v>45</v>
      </c>
      <c r="L42" s="21"/>
      <c r="M42" s="23"/>
      <c r="N42" s="1" t="s">
        <v>254</v>
      </c>
      <c r="O42" s="1" t="s">
        <v>254</v>
      </c>
      <c r="P42" s="37">
        <v>45392</v>
      </c>
      <c r="Q42" s="37">
        <v>45672</v>
      </c>
      <c r="R42" s="37" t="s">
        <v>257</v>
      </c>
      <c r="S42" s="37">
        <v>45688</v>
      </c>
      <c r="T42" s="32" t="s">
        <v>11</v>
      </c>
      <c r="U42" s="32" t="s">
        <v>4</v>
      </c>
      <c r="V42" s="1" t="s">
        <v>12</v>
      </c>
      <c r="W42" s="1" t="s">
        <v>13</v>
      </c>
      <c r="X42" s="1" t="s">
        <v>13</v>
      </c>
      <c r="Y42" s="13">
        <v>100000</v>
      </c>
      <c r="Z42" s="13"/>
      <c r="AA42" s="13"/>
      <c r="AB42" s="76"/>
      <c r="AC42" s="13"/>
      <c r="AD42" s="13"/>
      <c r="AE42" s="13"/>
      <c r="AF42" s="13">
        <f>Project_List[[#This Row],[Professional Service Agreement (PSA) Amount]]+Project_List[[#This Row],[Engineer''s Est]]+Project_List[[#This Row],[Estimated COA
Engineering / 
Admin]]</f>
        <v>100000</v>
      </c>
      <c r="AG42" s="13">
        <f>Project_List[[#This Row],[Professional Service Agreement (PSA) Amount]]+Project_List[[#This Row],[Final Construction Costs]]+Project_List[[#This Row],[Estimated COA
Engineering / 
Admin]]</f>
        <v>0</v>
      </c>
      <c r="AH42" s="13">
        <f>Project_List[[#This Row],[Overall Budget]]-Project_List[[#This Row],[Total Anticipated Costs (PSA+Est+COA Est)]]-Project_List[[#This Row],[Anticipated Costs Unincombered]]</f>
        <v>0</v>
      </c>
      <c r="AI42" s="1" t="s">
        <v>13</v>
      </c>
      <c r="AJ42" s="40">
        <v>73360</v>
      </c>
      <c r="AK42" s="32" t="s">
        <v>13</v>
      </c>
      <c r="AL42" s="1">
        <v>0</v>
      </c>
      <c r="AW42" s="41"/>
    </row>
    <row r="43" spans="1:49" ht="30" x14ac:dyDescent="0.25">
      <c r="A43" s="1" t="s">
        <v>254</v>
      </c>
      <c r="B43" s="1">
        <v>520</v>
      </c>
      <c r="C43" s="27" t="str">
        <f>LOOKUP(Project_List[[#This Row],[Fund No.]],'Code Lookup'!A$9:A$53,'Code Lookup'!B$9:B$53)</f>
        <v>Sewer Utility</v>
      </c>
      <c r="D43" s="1" t="s">
        <v>322</v>
      </c>
      <c r="E43" s="28" t="s">
        <v>67</v>
      </c>
      <c r="F43" s="18" t="s">
        <v>133</v>
      </c>
      <c r="G43" s="1" t="s">
        <v>150</v>
      </c>
      <c r="H43" s="32" t="s">
        <v>49</v>
      </c>
      <c r="I43" s="32">
        <v>10000</v>
      </c>
      <c r="J43" s="28">
        <v>60633</v>
      </c>
      <c r="K43" s="8" t="s">
        <v>29</v>
      </c>
      <c r="L43" s="12">
        <v>0</v>
      </c>
      <c r="M43" s="12">
        <v>0</v>
      </c>
      <c r="N43" s="1" t="s">
        <v>255</v>
      </c>
      <c r="O43" s="1" t="s">
        <v>255</v>
      </c>
      <c r="P43" s="37">
        <v>44743</v>
      </c>
      <c r="Q43" s="37">
        <v>44925</v>
      </c>
      <c r="R43" s="37" t="s">
        <v>255</v>
      </c>
      <c r="S43" s="37">
        <v>44925</v>
      </c>
      <c r="T43" s="1" t="s">
        <v>3</v>
      </c>
      <c r="U43" s="32" t="s">
        <v>0</v>
      </c>
      <c r="V43" s="1" t="s">
        <v>18</v>
      </c>
      <c r="W43" s="1" t="s">
        <v>10</v>
      </c>
      <c r="X43" s="28" t="s">
        <v>10</v>
      </c>
      <c r="Y43" s="13">
        <v>0</v>
      </c>
      <c r="Z43" s="13">
        <v>0</v>
      </c>
      <c r="AA43" s="13"/>
      <c r="AB43" s="76"/>
      <c r="AC43" s="13">
        <v>8489.7999999999993</v>
      </c>
      <c r="AD43" s="13"/>
      <c r="AE43" s="13"/>
      <c r="AF43" s="13">
        <f>Project_List[[#This Row],[Professional Service Agreement (PSA) Amount]]+Project_List[[#This Row],[Engineer''s Est]]+Project_List[[#This Row],[Estimated COA
Engineering / 
Admin]]</f>
        <v>0</v>
      </c>
      <c r="AG43" s="13">
        <f>Project_List[[#This Row],[Professional Service Agreement (PSA) Amount]]+Project_List[[#This Row],[Final Construction Costs]]+Project_List[[#This Row],[Estimated COA
Engineering / 
Admin]]</f>
        <v>8489.7999999999993</v>
      </c>
      <c r="AH43" s="13">
        <f>Project_List[[#This Row],[Overall Budget]]-Project_List[[#This Row],[Total Anticipated Costs (PSA+Est+COA Est)]]-Project_List[[#This Row],[Anticipated Costs Unincombered]]</f>
        <v>10000</v>
      </c>
      <c r="AI43" s="2" t="s">
        <v>10</v>
      </c>
      <c r="AJ43" s="31"/>
      <c r="AK43" s="36" t="s">
        <v>10</v>
      </c>
      <c r="AL43" s="1">
        <v>0</v>
      </c>
      <c r="AW43" s="41"/>
    </row>
    <row r="44" spans="1:49" ht="30" x14ac:dyDescent="0.25">
      <c r="A44" s="1" t="s">
        <v>254</v>
      </c>
      <c r="B44" s="6">
        <v>560</v>
      </c>
      <c r="C44" s="2" t="str">
        <f>LOOKUP(Project_List[[#This Row],[Fund No.]],'Code Lookup'!A$9:A$53,'Code Lookup'!B$9:B$53)</f>
        <v>Stormwater Utility</v>
      </c>
      <c r="D44" s="6" t="s">
        <v>68</v>
      </c>
      <c r="E44" s="6" t="s">
        <v>180</v>
      </c>
      <c r="F44" s="19" t="s">
        <v>324</v>
      </c>
      <c r="G44" s="6" t="s">
        <v>146</v>
      </c>
      <c r="H44" s="1" t="s">
        <v>49</v>
      </c>
      <c r="J44" s="1">
        <v>60574</v>
      </c>
      <c r="K44" s="1" t="s">
        <v>4</v>
      </c>
      <c r="L44" s="13">
        <v>0</v>
      </c>
      <c r="M44" s="13">
        <v>0</v>
      </c>
      <c r="N44" s="1" t="s">
        <v>254</v>
      </c>
      <c r="O44" s="1" t="s">
        <v>254</v>
      </c>
      <c r="P44" s="37">
        <v>44743</v>
      </c>
      <c r="Q44" s="37">
        <v>45202</v>
      </c>
      <c r="R44" s="37" t="s">
        <v>256</v>
      </c>
      <c r="S44" s="37">
        <v>45291</v>
      </c>
      <c r="T44" s="1" t="s">
        <v>3</v>
      </c>
      <c r="U44" s="1" t="s">
        <v>4</v>
      </c>
      <c r="V44" s="1" t="s">
        <v>18</v>
      </c>
      <c r="W44" s="1" t="s">
        <v>10</v>
      </c>
      <c r="X44" s="1" t="s">
        <v>10</v>
      </c>
      <c r="Y44" s="13">
        <v>121486</v>
      </c>
      <c r="Z44" s="13">
        <v>128187.15</v>
      </c>
      <c r="AA44" s="13"/>
      <c r="AB44" s="76"/>
      <c r="AC44" s="13">
        <v>133556.85</v>
      </c>
      <c r="AD44" s="13"/>
      <c r="AE44" s="13"/>
      <c r="AF44" s="13">
        <f>Project_List[[#This Row],[Professional Service Agreement (PSA) Amount]]+Project_List[[#This Row],[Engineer''s Est]]+Project_List[[#This Row],[Estimated COA
Engineering / 
Admin]]</f>
        <v>121486</v>
      </c>
      <c r="AG44" s="13">
        <f>Project_List[[#This Row],[Professional Service Agreement (PSA) Amount]]+Project_List[[#This Row],[Final Construction Costs]]+Project_List[[#This Row],[Estimated COA
Engineering / 
Admin]]</f>
        <v>133556.85</v>
      </c>
      <c r="AH44" s="13">
        <f>Project_List[[#This Row],[Overall Budget]]-Project_List[[#This Row],[Total Anticipated Costs (PSA+Est+COA Est)]]-Project_List[[#This Row],[Anticipated Costs Unincombered]]</f>
        <v>-121486</v>
      </c>
      <c r="AI44" s="1" t="s">
        <v>10</v>
      </c>
      <c r="AJ44" s="32">
        <v>0</v>
      </c>
      <c r="AK44" s="36" t="s">
        <v>10</v>
      </c>
      <c r="AL44" s="1">
        <v>1</v>
      </c>
      <c r="AW44" s="41"/>
    </row>
    <row r="45" spans="1:49" ht="45" x14ac:dyDescent="0.25">
      <c r="A45" s="1" t="s">
        <v>254</v>
      </c>
      <c r="B45" s="2">
        <v>560</v>
      </c>
      <c r="C45" s="2" t="str">
        <f>LOOKUP(Project_List[[#This Row],[Fund No.]],'Code Lookup'!A$9:A$53,'Code Lookup'!B$9:B$53)</f>
        <v>Stormwater Utility</v>
      </c>
      <c r="D45" s="2" t="s">
        <v>68</v>
      </c>
      <c r="E45" s="2" t="s">
        <v>190</v>
      </c>
      <c r="F45" s="1" t="s">
        <v>325</v>
      </c>
      <c r="G45" s="1" t="s">
        <v>56</v>
      </c>
      <c r="H45" s="1" t="s">
        <v>169</v>
      </c>
      <c r="I45" s="32">
        <f>125091+5000</f>
        <v>130091</v>
      </c>
      <c r="J45" s="1">
        <v>63112</v>
      </c>
      <c r="K45" s="2" t="s">
        <v>57</v>
      </c>
      <c r="L45" s="12">
        <v>25200</v>
      </c>
      <c r="M45" s="12">
        <v>24908.3</v>
      </c>
      <c r="N45" s="1" t="s">
        <v>256</v>
      </c>
      <c r="O45" s="1" t="s">
        <v>256</v>
      </c>
      <c r="P45" s="37">
        <v>45566</v>
      </c>
      <c r="Q45" s="37"/>
      <c r="R45" s="37" t="s">
        <v>257</v>
      </c>
      <c r="S45" s="37">
        <v>45627</v>
      </c>
      <c r="T45" s="1" t="s">
        <v>2</v>
      </c>
      <c r="U45" s="1" t="s">
        <v>0</v>
      </c>
      <c r="V45" s="2" t="s">
        <v>58</v>
      </c>
      <c r="W45" s="1" t="s">
        <v>10</v>
      </c>
      <c r="X45" s="28" t="s">
        <v>10</v>
      </c>
      <c r="Y45" s="13">
        <v>84980</v>
      </c>
      <c r="Z45" s="13">
        <v>111600</v>
      </c>
      <c r="AA45" s="13">
        <v>4650</v>
      </c>
      <c r="AB45" s="76">
        <v>35000</v>
      </c>
      <c r="AC45" s="13"/>
      <c r="AD45" s="13">
        <v>35000</v>
      </c>
      <c r="AE45" s="13"/>
      <c r="AF45" s="13">
        <f>Project_List[[#This Row],[Professional Service Agreement (PSA) Amount]]+Project_List[[#This Row],[Engineer''s Est]]+Project_List[[#This Row],[Estimated COA
Engineering / 
Admin]]</f>
        <v>145180</v>
      </c>
      <c r="AG45" s="13">
        <f>Project_List[[#This Row],[Professional Service Agreement (PSA) Amount]]+Project_List[[#This Row],[Final Construction Costs]]+Project_List[[#This Row],[Estimated COA
Engineering / 
Admin]]</f>
        <v>60200</v>
      </c>
      <c r="AH45" s="13">
        <f>Project_List[[#This Row],[Overall Budget]]-Project_List[[#This Row],[Total Anticipated Costs (PSA+Est+COA Est)]]-Project_List[[#This Row],[Anticipated Costs Unincombered]]</f>
        <v>-50089</v>
      </c>
      <c r="AI45" s="1" t="s">
        <v>10</v>
      </c>
      <c r="AJ45" s="32">
        <v>2380</v>
      </c>
      <c r="AK45" s="36" t="s">
        <v>10</v>
      </c>
      <c r="AL45" s="1">
        <v>1</v>
      </c>
      <c r="AW45" s="41"/>
    </row>
    <row r="46" spans="1:49" ht="30" x14ac:dyDescent="0.25">
      <c r="A46" s="1" t="s">
        <v>254</v>
      </c>
      <c r="B46" s="6">
        <v>560</v>
      </c>
      <c r="C46" s="2" t="str">
        <f>LOOKUP(Project_List[[#This Row],[Fund No.]],'Code Lookup'!A$9:A$53,'Code Lookup'!B$9:B$53)</f>
        <v>Stormwater Utility</v>
      </c>
      <c r="D46" s="6" t="s">
        <v>68</v>
      </c>
      <c r="E46" s="6" t="s">
        <v>189</v>
      </c>
      <c r="F46" s="19" t="s">
        <v>202</v>
      </c>
      <c r="G46" s="6" t="s">
        <v>147</v>
      </c>
      <c r="H46" s="1" t="s">
        <v>49</v>
      </c>
      <c r="I46" s="32">
        <v>350000</v>
      </c>
      <c r="J46" s="1">
        <v>63043</v>
      </c>
      <c r="K46" s="1" t="s">
        <v>52</v>
      </c>
      <c r="L46" s="13">
        <v>52000</v>
      </c>
      <c r="M46" s="13">
        <v>52000</v>
      </c>
      <c r="N46" s="1" t="s">
        <v>256</v>
      </c>
      <c r="O46" s="1" t="s">
        <v>254</v>
      </c>
      <c r="P46" s="37">
        <v>45413</v>
      </c>
      <c r="Q46" s="37">
        <v>45627</v>
      </c>
      <c r="R46" s="37" t="s">
        <v>256</v>
      </c>
      <c r="S46" s="37">
        <v>45657</v>
      </c>
      <c r="T46" s="1" t="s">
        <v>2</v>
      </c>
      <c r="U46" s="2" t="s">
        <v>23</v>
      </c>
      <c r="V46" s="1" t="s">
        <v>12</v>
      </c>
      <c r="W46" s="1" t="s">
        <v>10</v>
      </c>
      <c r="X46" s="1" t="s">
        <v>10</v>
      </c>
      <c r="Y46" s="13">
        <v>271910</v>
      </c>
      <c r="Z46" s="13">
        <v>206340</v>
      </c>
      <c r="AA46" s="13"/>
      <c r="AB46" s="76"/>
      <c r="AC46" s="13">
        <v>176305.2</v>
      </c>
      <c r="AD46" s="13">
        <v>20000</v>
      </c>
      <c r="AE46" s="13"/>
      <c r="AF46" s="13">
        <f>Project_List[[#This Row],[Professional Service Agreement (PSA) Amount]]+Project_List[[#This Row],[Engineer''s Est]]+Project_List[[#This Row],[Estimated COA
Engineering / 
Admin]]</f>
        <v>343910</v>
      </c>
      <c r="AG46" s="13">
        <f>Project_List[[#This Row],[Professional Service Agreement (PSA) Amount]]+Project_List[[#This Row],[Final Construction Costs]]+Project_List[[#This Row],[Estimated COA
Engineering / 
Admin]]</f>
        <v>248305.2</v>
      </c>
      <c r="AH46" s="13">
        <f>Project_List[[#This Row],[Overall Budget]]-Project_List[[#This Row],[Total Anticipated Costs (PSA+Est+COA Est)]]-Project_List[[#This Row],[Anticipated Costs Unincombered]]</f>
        <v>6090</v>
      </c>
      <c r="AI46" s="1" t="s">
        <v>10</v>
      </c>
      <c r="AJ46" s="32">
        <v>0</v>
      </c>
      <c r="AK46" s="36" t="s">
        <v>10</v>
      </c>
      <c r="AL46" s="1">
        <v>1</v>
      </c>
      <c r="AW46" s="41"/>
    </row>
    <row r="47" spans="1:49" ht="30" x14ac:dyDescent="0.25">
      <c r="A47" s="1" t="s">
        <v>254</v>
      </c>
      <c r="B47" s="6">
        <v>520</v>
      </c>
      <c r="C47" s="2" t="str">
        <f>LOOKUP(Project_List[[#This Row],[Fund No.]],'Code Lookup'!A$9:A$53,'Code Lookup'!B$9:B$53)</f>
        <v>Sewer Utility</v>
      </c>
      <c r="D47" s="1" t="s">
        <v>322</v>
      </c>
      <c r="E47" s="6" t="s">
        <v>185</v>
      </c>
      <c r="F47" s="19" t="s">
        <v>133</v>
      </c>
      <c r="G47" s="6" t="s">
        <v>182</v>
      </c>
      <c r="H47" s="1" t="s">
        <v>49</v>
      </c>
      <c r="I47" s="32">
        <v>65000</v>
      </c>
      <c r="J47" s="1">
        <v>61047</v>
      </c>
      <c r="K47" s="1" t="s">
        <v>4</v>
      </c>
      <c r="L47" s="13">
        <v>0</v>
      </c>
      <c r="M47" s="13">
        <v>0</v>
      </c>
      <c r="N47" s="1" t="s">
        <v>254</v>
      </c>
      <c r="O47" s="1" t="s">
        <v>254</v>
      </c>
      <c r="P47" s="37">
        <v>44805</v>
      </c>
      <c r="Q47" s="37">
        <v>44926</v>
      </c>
      <c r="R47" s="37" t="s">
        <v>255</v>
      </c>
      <c r="S47" s="37">
        <v>44926</v>
      </c>
      <c r="T47" s="1" t="s">
        <v>14</v>
      </c>
      <c r="U47" s="2" t="s">
        <v>4</v>
      </c>
      <c r="V47" s="1" t="s">
        <v>456</v>
      </c>
      <c r="W47" s="1" t="s">
        <v>10</v>
      </c>
      <c r="X47" s="28" t="s">
        <v>10</v>
      </c>
      <c r="Y47" s="13">
        <v>64335</v>
      </c>
      <c r="Z47" s="13">
        <v>48727.8</v>
      </c>
      <c r="AA47" s="13"/>
      <c r="AB47" s="76"/>
      <c r="AC47" s="13">
        <v>14445</v>
      </c>
      <c r="AD47" s="13"/>
      <c r="AE47" s="13"/>
      <c r="AF47" s="13">
        <f>Project_List[[#This Row],[Professional Service Agreement (PSA) Amount]]+Project_List[[#This Row],[Engineer''s Est]]+Project_List[[#This Row],[Estimated COA
Engineering / 
Admin]]</f>
        <v>64335</v>
      </c>
      <c r="AG47" s="13">
        <f>Project_List[[#This Row],[Professional Service Agreement (PSA) Amount]]+Project_List[[#This Row],[Final Construction Costs]]+Project_List[[#This Row],[Estimated COA
Engineering / 
Admin]]</f>
        <v>14445</v>
      </c>
      <c r="AH47" s="13">
        <f>Project_List[[#This Row],[Overall Budget]]-Project_List[[#This Row],[Total Anticipated Costs (PSA+Est+COA Est)]]-Project_List[[#This Row],[Anticipated Costs Unincombered]]</f>
        <v>665</v>
      </c>
      <c r="AI47" s="1" t="s">
        <v>10</v>
      </c>
      <c r="AJ47" s="32"/>
      <c r="AK47" s="36" t="s">
        <v>10</v>
      </c>
      <c r="AL47" s="1">
        <v>0</v>
      </c>
      <c r="AW47" s="41"/>
    </row>
    <row r="48" spans="1:49" ht="30" x14ac:dyDescent="0.25">
      <c r="A48" s="1" t="s">
        <v>254</v>
      </c>
      <c r="B48" s="6">
        <v>560</v>
      </c>
      <c r="C48" s="2" t="str">
        <f>LOOKUP(Project_List[[#This Row],[Fund No.]],'Code Lookup'!A$9:A$53,'Code Lookup'!B$9:B$53)</f>
        <v>Stormwater Utility</v>
      </c>
      <c r="D48" s="1" t="s">
        <v>68</v>
      </c>
      <c r="E48" s="6" t="s">
        <v>168</v>
      </c>
      <c r="F48" s="19" t="s">
        <v>324</v>
      </c>
      <c r="G48" s="1" t="s">
        <v>186</v>
      </c>
      <c r="H48" s="1" t="s">
        <v>49</v>
      </c>
      <c r="I48" s="32">
        <v>200000</v>
      </c>
      <c r="J48" s="1">
        <v>61756</v>
      </c>
      <c r="K48" s="1" t="s">
        <v>45</v>
      </c>
      <c r="L48" s="13">
        <v>0</v>
      </c>
      <c r="M48" s="13">
        <v>0</v>
      </c>
      <c r="N48" s="1" t="s">
        <v>254</v>
      </c>
      <c r="O48" s="1" t="s">
        <v>254</v>
      </c>
      <c r="P48" s="37">
        <v>45392</v>
      </c>
      <c r="Q48" s="37">
        <v>45672</v>
      </c>
      <c r="R48" s="37" t="s">
        <v>257</v>
      </c>
      <c r="S48" s="37">
        <v>45688</v>
      </c>
      <c r="T48" s="1" t="s">
        <v>11</v>
      </c>
      <c r="U48" s="2" t="s">
        <v>4</v>
      </c>
      <c r="V48" s="1" t="s">
        <v>12</v>
      </c>
      <c r="W48" s="1" t="s">
        <v>13</v>
      </c>
      <c r="X48" s="1" t="s">
        <v>13</v>
      </c>
      <c r="Y48" s="13">
        <v>100000</v>
      </c>
      <c r="Z48" s="13">
        <v>179731</v>
      </c>
      <c r="AA48" s="13"/>
      <c r="AB48" s="76"/>
      <c r="AC48" s="13">
        <v>120270.2</v>
      </c>
      <c r="AD48" s="13"/>
      <c r="AE48" s="13"/>
      <c r="AF48" s="13">
        <f>Project_List[[#This Row],[Professional Service Agreement (PSA) Amount]]+Project_List[[#This Row],[Engineer''s Est]]+Project_List[[#This Row],[Estimated COA
Engineering / 
Admin]]</f>
        <v>100000</v>
      </c>
      <c r="AG48" s="13">
        <f>Project_List[[#This Row],[Professional Service Agreement (PSA) Amount]]+Project_List[[#This Row],[Final Construction Costs]]+Project_List[[#This Row],[Estimated COA
Engineering / 
Admin]]</f>
        <v>120270.2</v>
      </c>
      <c r="AH48" s="13">
        <f>Project_List[[#This Row],[Overall Budget]]-Project_List[[#This Row],[Total Anticipated Costs (PSA+Est+COA Est)]]-Project_List[[#This Row],[Anticipated Costs Unincombered]]</f>
        <v>100000</v>
      </c>
      <c r="AI48" s="1" t="s">
        <v>13</v>
      </c>
      <c r="AJ48" s="32">
        <v>0</v>
      </c>
      <c r="AK48" s="32" t="s">
        <v>13</v>
      </c>
      <c r="AL48" s="1">
        <v>0</v>
      </c>
      <c r="AW48" s="41"/>
    </row>
    <row r="49" spans="1:49" ht="30" x14ac:dyDescent="0.25">
      <c r="A49" s="1" t="s">
        <v>254</v>
      </c>
      <c r="B49" s="1">
        <v>560</v>
      </c>
      <c r="C49" s="1" t="str">
        <f>LOOKUP(Project_List[[#This Row],[Fund No.]],'Code Lookup'!A$9:A$53,'Code Lookup'!B$9:B$53)</f>
        <v>Stormwater Utility</v>
      </c>
      <c r="D49" s="1" t="s">
        <v>68</v>
      </c>
      <c r="E49" s="1" t="s">
        <v>168</v>
      </c>
      <c r="F49" s="1" t="s">
        <v>324</v>
      </c>
      <c r="G49" s="1" t="s">
        <v>157</v>
      </c>
      <c r="H49" s="1" t="s">
        <v>49</v>
      </c>
      <c r="J49" s="1">
        <v>60632</v>
      </c>
      <c r="K49" s="1" t="s">
        <v>240</v>
      </c>
      <c r="L49" s="13"/>
      <c r="M49" s="13"/>
      <c r="N49" s="1" t="s">
        <v>254</v>
      </c>
      <c r="O49" s="1" t="s">
        <v>254</v>
      </c>
      <c r="P49" s="37">
        <v>44774</v>
      </c>
      <c r="Q49" s="37">
        <v>45455</v>
      </c>
      <c r="R49" s="37" t="s">
        <v>256</v>
      </c>
      <c r="S49" s="37">
        <v>45291</v>
      </c>
      <c r="T49" s="1" t="s">
        <v>3</v>
      </c>
      <c r="U49" s="1" t="s">
        <v>0</v>
      </c>
      <c r="V49" s="1" t="s">
        <v>12</v>
      </c>
      <c r="W49" s="1" t="s">
        <v>13</v>
      </c>
      <c r="X49" s="28" t="s">
        <v>10</v>
      </c>
      <c r="Y49" s="13">
        <v>1028681.5</v>
      </c>
      <c r="Z49" s="13">
        <v>1259781.6000000001</v>
      </c>
      <c r="AA49" s="13"/>
      <c r="AB49" s="76"/>
      <c r="AC49" s="13">
        <v>200000</v>
      </c>
      <c r="AD49" s="13"/>
      <c r="AE49" s="13"/>
      <c r="AF49" s="13">
        <f>Project_List[[#This Row],[Professional Service Agreement (PSA) Amount]]+Project_List[[#This Row],[Engineer''s Est]]+Project_List[[#This Row],[Estimated COA
Engineering / 
Admin]]</f>
        <v>1028681.5</v>
      </c>
      <c r="AG49" s="13">
        <f>Project_List[[#This Row],[Professional Service Agreement (PSA) Amount]]+Project_List[[#This Row],[Final Construction Costs]]+Project_List[[#This Row],[Estimated COA
Engineering / 
Admin]]</f>
        <v>200000</v>
      </c>
      <c r="AH49" s="13">
        <f>Project_List[[#This Row],[Overall Budget]]-Project_List[[#This Row],[Total Anticipated Costs (PSA+Est+COA Est)]]-Project_List[[#This Row],[Anticipated Costs Unincombered]]</f>
        <v>-1028681.5</v>
      </c>
      <c r="AI49" s="2" t="s">
        <v>10</v>
      </c>
      <c r="AJ49" s="32">
        <v>0</v>
      </c>
      <c r="AK49" s="36" t="s">
        <v>10</v>
      </c>
      <c r="AL49" s="1">
        <v>0</v>
      </c>
      <c r="AW49" s="41"/>
    </row>
    <row r="50" spans="1:49" ht="45" x14ac:dyDescent="0.25">
      <c r="A50" s="1" t="s">
        <v>254</v>
      </c>
      <c r="B50" s="1">
        <v>522</v>
      </c>
      <c r="C50" s="2" t="str">
        <f>LOOKUP(Project_List[[#This Row],[Fund No.]],'Code Lookup'!A$9:A$53,'Code Lookup'!B$9:B$53)</f>
        <v>Sewer Improvements (SRF)</v>
      </c>
      <c r="D50" s="1" t="s">
        <v>322</v>
      </c>
      <c r="E50" s="1" t="s">
        <v>134</v>
      </c>
      <c r="F50" s="18" t="s">
        <v>133</v>
      </c>
      <c r="G50" s="1" t="s">
        <v>482</v>
      </c>
      <c r="H50" s="1" t="s">
        <v>483</v>
      </c>
      <c r="I50" s="32">
        <v>1158946</v>
      </c>
      <c r="K50" s="2" t="s">
        <v>16</v>
      </c>
      <c r="L50" s="12">
        <f>222000/2+80000</f>
        <v>191000</v>
      </c>
      <c r="M50" s="12">
        <f>181816.3/2</f>
        <v>90908.15</v>
      </c>
      <c r="N50" s="1" t="s">
        <v>257</v>
      </c>
      <c r="O50" s="1" t="s">
        <v>257</v>
      </c>
      <c r="P50" s="37"/>
      <c r="Q50" s="37"/>
      <c r="R50" s="37" t="s">
        <v>273</v>
      </c>
      <c r="S50" s="37">
        <v>46022</v>
      </c>
      <c r="T50" s="1" t="s">
        <v>16</v>
      </c>
      <c r="U50" s="1" t="s">
        <v>0</v>
      </c>
      <c r="W50" s="1" t="s">
        <v>10</v>
      </c>
      <c r="X50" s="28" t="s">
        <v>10</v>
      </c>
      <c r="Y50" s="13"/>
      <c r="Z50" s="13"/>
      <c r="AA50" s="13"/>
      <c r="AB50" s="76"/>
      <c r="AC50" s="13"/>
      <c r="AD50" s="13"/>
      <c r="AE50" s="13"/>
      <c r="AF50" s="13">
        <f>Project_List[[#This Row],[Professional Service Agreement (PSA) Amount]]+Project_List[[#This Row],[Engineer''s Est]]+Project_List[[#This Row],[Estimated COA
Engineering / 
Admin]]</f>
        <v>191000</v>
      </c>
      <c r="AG50" s="13">
        <f>Project_List[[#This Row],[Professional Service Agreement (PSA) Amount]]+Project_List[[#This Row],[Final Construction Costs]]+Project_List[[#This Row],[Estimated COA
Engineering / 
Admin]]</f>
        <v>191000</v>
      </c>
      <c r="AH50" s="13">
        <f>Project_List[[#This Row],[Overall Budget]]-Project_List[[#This Row],[Total Anticipated Costs (PSA+Est+COA Est)]]-Project_List[[#This Row],[Anticipated Costs Unincombered]]</f>
        <v>967946</v>
      </c>
      <c r="AI50" s="1" t="s">
        <v>10</v>
      </c>
      <c r="AJ50" s="32"/>
      <c r="AK50" s="36" t="s">
        <v>10</v>
      </c>
      <c r="AL50" s="1">
        <v>1</v>
      </c>
      <c r="AW50" s="41"/>
    </row>
    <row r="51" spans="1:49" ht="45" x14ac:dyDescent="0.25">
      <c r="A51" s="1" t="s">
        <v>254</v>
      </c>
      <c r="B51" s="1">
        <v>522</v>
      </c>
      <c r="C51" s="2" t="str">
        <f>LOOKUP(Project_List[[#This Row],[Fund No.]],'Code Lookup'!A$9:A$53,'Code Lookup'!B$9:B$53)</f>
        <v>Sewer Improvements (SRF)</v>
      </c>
      <c r="D51" s="1" t="s">
        <v>322</v>
      </c>
      <c r="E51" s="1" t="s">
        <v>142</v>
      </c>
      <c r="F51" s="18" t="s">
        <v>133</v>
      </c>
      <c r="G51" s="1" t="s">
        <v>27</v>
      </c>
      <c r="H51" s="1" t="s">
        <v>49</v>
      </c>
      <c r="I51" s="32">
        <v>3922000</v>
      </c>
      <c r="J51" s="1">
        <v>61570</v>
      </c>
      <c r="K51" s="1" t="s">
        <v>16</v>
      </c>
      <c r="L51" s="13">
        <f>222000/2+140000</f>
        <v>251000</v>
      </c>
      <c r="M51" s="13">
        <f>181816.3/2+71260.89</f>
        <v>162169.03999999998</v>
      </c>
      <c r="N51" s="1" t="s">
        <v>255</v>
      </c>
      <c r="O51" s="1" t="s">
        <v>255</v>
      </c>
      <c r="P51" s="37">
        <v>45200</v>
      </c>
      <c r="Q51" s="37">
        <v>45657</v>
      </c>
      <c r="R51" s="37" t="s">
        <v>257</v>
      </c>
      <c r="S51" s="37">
        <v>45444</v>
      </c>
      <c r="T51" s="1" t="s">
        <v>16</v>
      </c>
      <c r="U51" s="1" t="s">
        <v>0</v>
      </c>
      <c r="V51" s="1" t="s">
        <v>28</v>
      </c>
      <c r="W51" s="1" t="s">
        <v>10</v>
      </c>
      <c r="X51" s="1" t="s">
        <v>10</v>
      </c>
      <c r="Y51" s="13">
        <v>2140000</v>
      </c>
      <c r="Z51" s="13">
        <v>3791558.69</v>
      </c>
      <c r="AA51" s="13"/>
      <c r="AB51" s="76"/>
      <c r="AC51" s="13">
        <v>3472507.52</v>
      </c>
      <c r="AD51" s="13">
        <f>200000-Project_List[[#This Row],[Actual PSA Spent]]</f>
        <v>37830.960000000021</v>
      </c>
      <c r="AE51" s="13"/>
      <c r="AF51" s="13">
        <f>Project_List[[#This Row],[Professional Service Agreement (PSA) Amount]]+Project_List[[#This Row],[Engineer''s Est]]+Project_List[[#This Row],[Estimated COA
Engineering / 
Admin]]</f>
        <v>2428830.96</v>
      </c>
      <c r="AG51" s="13">
        <f>Project_List[[#This Row],[Professional Service Agreement (PSA) Amount]]+Project_List[[#This Row],[Final Construction Costs]]+Project_List[[#This Row],[Estimated COA
Engineering / 
Admin]]</f>
        <v>3761338.48</v>
      </c>
      <c r="AH51" s="13">
        <f>Project_List[[#This Row],[Overall Budget]]-Project_List[[#This Row],[Total Anticipated Costs (PSA+Est+COA Est)]]-Project_List[[#This Row],[Anticipated Costs Unincombered]]</f>
        <v>1493169.04</v>
      </c>
      <c r="AI51" s="1" t="s">
        <v>10</v>
      </c>
      <c r="AJ51" s="32">
        <v>0</v>
      </c>
      <c r="AK51" s="36" t="s">
        <v>10</v>
      </c>
      <c r="AL51" s="1">
        <v>1</v>
      </c>
      <c r="AW51" s="41"/>
    </row>
    <row r="52" spans="1:49" ht="30" x14ac:dyDescent="0.25">
      <c r="A52" s="1" t="s">
        <v>255</v>
      </c>
      <c r="B52" s="1">
        <v>122</v>
      </c>
      <c r="C52" s="1" t="str">
        <f>LOOKUP(Project_List[[#This Row],[Fund No.]],'Code Lookup'!A$9:A$53,'Code Lookup'!B$9:B$53)</f>
        <v>American Rescue Plan</v>
      </c>
      <c r="D52" s="1" t="s">
        <v>322</v>
      </c>
      <c r="E52" s="1" t="s">
        <v>393</v>
      </c>
      <c r="F52" s="1" t="s">
        <v>22</v>
      </c>
      <c r="G52" s="1" t="s">
        <v>391</v>
      </c>
      <c r="H52" s="32" t="s">
        <v>49</v>
      </c>
      <c r="I52" s="32">
        <v>336319.5</v>
      </c>
      <c r="J52" s="1">
        <v>60633</v>
      </c>
      <c r="K52" s="8" t="s">
        <v>52</v>
      </c>
      <c r="L52" s="21"/>
      <c r="M52" s="23"/>
      <c r="N52" s="1" t="s">
        <v>255</v>
      </c>
      <c r="O52" s="1" t="s">
        <v>255</v>
      </c>
      <c r="P52" s="37">
        <v>44986</v>
      </c>
      <c r="Q52" s="37">
        <v>45643</v>
      </c>
      <c r="R52" s="37" t="s">
        <v>256</v>
      </c>
      <c r="S52" s="37" t="s">
        <v>256</v>
      </c>
      <c r="T52" s="32" t="s">
        <v>3</v>
      </c>
      <c r="U52" s="32" t="s">
        <v>8</v>
      </c>
      <c r="V52" s="1" t="s">
        <v>347</v>
      </c>
      <c r="W52" s="1" t="s">
        <v>10</v>
      </c>
      <c r="X52" s="28" t="s">
        <v>10</v>
      </c>
      <c r="Y52" s="13">
        <f>761909*0.36</f>
        <v>274287.24</v>
      </c>
      <c r="Z52" s="13">
        <f>941044.5*0.36</f>
        <v>338776.01999999996</v>
      </c>
      <c r="AA52" s="13"/>
      <c r="AB52" s="76"/>
      <c r="AC52" s="14">
        <v>336319.5</v>
      </c>
      <c r="AD52" s="14"/>
      <c r="AE52" s="14"/>
      <c r="AF52" s="14">
        <f>Project_List[[#This Row],[Professional Service Agreement (PSA) Amount]]+Project_List[[#This Row],[Engineer''s Est]]+Project_List[[#This Row],[Estimated COA
Engineering / 
Admin]]</f>
        <v>274287.24</v>
      </c>
      <c r="AG52" s="14">
        <f>Project_List[[#This Row],[Professional Service Agreement (PSA) Amount]]+Project_List[[#This Row],[Final Construction Costs]]+Project_List[[#This Row],[Estimated COA
Engineering / 
Admin]]</f>
        <v>336319.5</v>
      </c>
      <c r="AH52" s="13">
        <f>Project_List[[#This Row],[Overall Budget]]-Project_List[[#This Row],[Total Anticipated Costs (PSA+Est+COA Est)]]-Project_List[[#This Row],[Anticipated Costs Unincombered]]</f>
        <v>62032.260000000009</v>
      </c>
      <c r="AI52" s="1" t="s">
        <v>10</v>
      </c>
      <c r="AJ52" s="36">
        <v>0</v>
      </c>
      <c r="AK52" s="36" t="s">
        <v>10</v>
      </c>
      <c r="AL52" s="1">
        <v>0</v>
      </c>
      <c r="AW52" s="41"/>
    </row>
    <row r="53" spans="1:49" ht="75" x14ac:dyDescent="0.25">
      <c r="A53" s="1" t="s">
        <v>255</v>
      </c>
      <c r="B53" s="2">
        <v>510</v>
      </c>
      <c r="C53" s="2" t="str">
        <f>LOOKUP(Project_List[[#This Row],[Fund No.]],'Code Lookup'!A$9:A$53,'Code Lookup'!B$9:B$53)</f>
        <v>Water Utility</v>
      </c>
      <c r="D53" s="2" t="s">
        <v>64</v>
      </c>
      <c r="E53" s="2" t="s">
        <v>55</v>
      </c>
      <c r="F53" s="19" t="s">
        <v>90</v>
      </c>
      <c r="G53" s="1" t="s">
        <v>209</v>
      </c>
      <c r="H53" s="1" t="s">
        <v>49</v>
      </c>
      <c r="I53" s="32">
        <v>450000</v>
      </c>
      <c r="J53" s="1">
        <v>62065</v>
      </c>
      <c r="K53" s="1" t="s">
        <v>16</v>
      </c>
      <c r="L53" s="13">
        <v>0</v>
      </c>
      <c r="M53" s="13">
        <v>0</v>
      </c>
      <c r="N53" s="1" t="s">
        <v>255</v>
      </c>
      <c r="O53" s="1" t="s">
        <v>255</v>
      </c>
      <c r="P53" s="37">
        <v>45041</v>
      </c>
      <c r="Q53" s="44"/>
      <c r="R53" s="44" t="s">
        <v>273</v>
      </c>
      <c r="S53" s="44">
        <v>45657</v>
      </c>
      <c r="T53" s="2" t="s">
        <v>14</v>
      </c>
      <c r="U53" s="1" t="s">
        <v>0</v>
      </c>
      <c r="V53" s="1" t="s">
        <v>25</v>
      </c>
      <c r="W53" s="1" t="s">
        <v>10</v>
      </c>
      <c r="X53" s="1" t="s">
        <v>10</v>
      </c>
      <c r="Y53" s="13">
        <v>648270</v>
      </c>
      <c r="Z53" s="13">
        <v>450000</v>
      </c>
      <c r="AA53" s="13"/>
      <c r="AB53" s="76"/>
      <c r="AC53" s="13">
        <v>304719.63</v>
      </c>
      <c r="AD53" s="13"/>
      <c r="AE53" s="13"/>
      <c r="AF53" s="13">
        <f>Project_List[[#This Row],[Professional Service Agreement (PSA) Amount]]+Project_List[[#This Row],[Engineer''s Est]]+Project_List[[#This Row],[Estimated COA
Engineering / 
Admin]]</f>
        <v>648270</v>
      </c>
      <c r="AG53" s="13">
        <f>Project_List[[#This Row],[Professional Service Agreement (PSA) Amount]]+Project_List[[#This Row],[Final Construction Costs]]+Project_List[[#This Row],[Estimated COA
Engineering / 
Admin]]</f>
        <v>304719.63</v>
      </c>
      <c r="AH53" s="13">
        <f>Project_List[[#This Row],[Overall Budget]]-Project_List[[#This Row],[Total Anticipated Costs (PSA+Est+COA Est)]]-Project_List[[#This Row],[Anticipated Costs Unincombered]]</f>
        <v>-198270</v>
      </c>
      <c r="AI53" s="1" t="s">
        <v>10</v>
      </c>
      <c r="AJ53" s="32"/>
      <c r="AK53" s="36" t="s">
        <v>10</v>
      </c>
      <c r="AL53" s="1">
        <v>0</v>
      </c>
      <c r="AW53" s="41"/>
    </row>
    <row r="54" spans="1:49" ht="75" x14ac:dyDescent="0.25">
      <c r="A54" s="1" t="s">
        <v>255</v>
      </c>
      <c r="B54" s="2">
        <v>383</v>
      </c>
      <c r="C54" s="2" t="str">
        <f>LOOKUP(Project_List[[#This Row],[Fund No.]],'Code Lookup'!A$9:A$53,'Code Lookup'!B$9:B$53)</f>
        <v>2022/23 GO Bonds</v>
      </c>
      <c r="D54" s="2" t="s">
        <v>30</v>
      </c>
      <c r="E54" s="2" t="s">
        <v>206</v>
      </c>
      <c r="F54" s="20" t="s">
        <v>318</v>
      </c>
      <c r="G54" s="1" t="s">
        <v>209</v>
      </c>
      <c r="H54" s="1" t="s">
        <v>49</v>
      </c>
      <c r="I54" s="32">
        <v>3600000</v>
      </c>
      <c r="J54" s="1">
        <v>62065</v>
      </c>
      <c r="K54" s="1" t="s">
        <v>16</v>
      </c>
      <c r="L54" s="13">
        <v>312400</v>
      </c>
      <c r="M54" s="13">
        <v>312400</v>
      </c>
      <c r="N54" s="1" t="s">
        <v>255</v>
      </c>
      <c r="O54" s="1" t="s">
        <v>255</v>
      </c>
      <c r="P54" s="37">
        <v>45041</v>
      </c>
      <c r="Q54" s="44"/>
      <c r="R54" s="44" t="s">
        <v>273</v>
      </c>
      <c r="S54" s="44">
        <v>45657</v>
      </c>
      <c r="T54" s="2" t="s">
        <v>14</v>
      </c>
      <c r="U54" s="1" t="s">
        <v>0</v>
      </c>
      <c r="V54" s="1" t="s">
        <v>25</v>
      </c>
      <c r="W54" s="1" t="s">
        <v>10</v>
      </c>
      <c r="X54" s="28" t="s">
        <v>10</v>
      </c>
      <c r="Y54" s="13">
        <v>2466848.75</v>
      </c>
      <c r="Z54" s="13">
        <v>2753260.58</v>
      </c>
      <c r="AA54" s="13"/>
      <c r="AB54" s="76"/>
      <c r="AC54" s="13">
        <v>2162800.5</v>
      </c>
      <c r="AD54" s="13">
        <v>200000</v>
      </c>
      <c r="AE54" s="13">
        <f>55000+145000</f>
        <v>200000</v>
      </c>
      <c r="AF54" s="13">
        <f>Project_List[[#This Row],[Professional Service Agreement (PSA) Amount]]+Project_List[[#This Row],[Engineer''s Est]]+Project_List[[#This Row],[Estimated COA
Engineering / 
Admin]]</f>
        <v>2979248.75</v>
      </c>
      <c r="AG54" s="13">
        <f>Project_List[[#This Row],[Professional Service Agreement (PSA) Amount]]+Project_List[[#This Row],[Final Construction Costs]]+Project_List[[#This Row],[Estimated COA
Engineering / 
Admin]]</f>
        <v>2675200.5</v>
      </c>
      <c r="AH54" s="13">
        <f>Project_List[[#This Row],[Overall Budget]]-Project_List[[#This Row],[Total Anticipated Costs (PSA+Est+COA Est)]]-Project_List[[#This Row],[Anticipated Costs Unincombered]]</f>
        <v>620751.25</v>
      </c>
      <c r="AI54" s="1" t="s">
        <v>10</v>
      </c>
      <c r="AJ54" s="32">
        <v>266727</v>
      </c>
      <c r="AK54" s="32" t="s">
        <v>10</v>
      </c>
      <c r="AL54" s="1">
        <v>0</v>
      </c>
      <c r="AW54" s="41"/>
    </row>
    <row r="55" spans="1:49" ht="75" x14ac:dyDescent="0.25">
      <c r="A55" s="1" t="s">
        <v>255</v>
      </c>
      <c r="B55" s="2">
        <v>383</v>
      </c>
      <c r="C55" s="27" t="str">
        <f>LOOKUP(Project_List[[#This Row],[Fund No.]],'Code Lookup'!A$9:A$53,'Code Lookup'!B$9:B$53)</f>
        <v>2022/23 GO Bonds</v>
      </c>
      <c r="D55" s="2" t="s">
        <v>212</v>
      </c>
      <c r="E55" s="27" t="s">
        <v>207</v>
      </c>
      <c r="F55" s="20" t="s">
        <v>318</v>
      </c>
      <c r="G55" s="1" t="s">
        <v>209</v>
      </c>
      <c r="H55" s="1" t="s">
        <v>49</v>
      </c>
      <c r="I55" s="32">
        <v>400000</v>
      </c>
      <c r="J55" s="28">
        <v>62065</v>
      </c>
      <c r="K55" s="1" t="s">
        <v>16</v>
      </c>
      <c r="L55" s="13">
        <v>0</v>
      </c>
      <c r="M55" s="13">
        <v>0</v>
      </c>
      <c r="N55" s="1" t="s">
        <v>255</v>
      </c>
      <c r="O55" s="1" t="s">
        <v>255</v>
      </c>
      <c r="P55" s="37">
        <v>45041</v>
      </c>
      <c r="Q55" s="44"/>
      <c r="R55" s="44" t="s">
        <v>273</v>
      </c>
      <c r="S55" s="44">
        <v>45657</v>
      </c>
      <c r="T55" s="2" t="s">
        <v>14</v>
      </c>
      <c r="U55" s="1" t="s">
        <v>0</v>
      </c>
      <c r="V55" s="1" t="s">
        <v>25</v>
      </c>
      <c r="W55" s="1" t="s">
        <v>10</v>
      </c>
      <c r="X55" s="1" t="s">
        <v>10</v>
      </c>
      <c r="Y55" s="13">
        <v>400000</v>
      </c>
      <c r="Z55" s="13">
        <v>400000</v>
      </c>
      <c r="AA55" s="13"/>
      <c r="AB55" s="76"/>
      <c r="AC55" s="13">
        <v>400000</v>
      </c>
      <c r="AD55" s="13">
        <v>0</v>
      </c>
      <c r="AE55" s="13"/>
      <c r="AF55" s="13">
        <f>Project_List[[#This Row],[Professional Service Agreement (PSA) Amount]]+Project_List[[#This Row],[Engineer''s Est]]+Project_List[[#This Row],[Estimated COA
Engineering / 
Admin]]</f>
        <v>400000</v>
      </c>
      <c r="AG55" s="13">
        <f>Project_List[[#This Row],[Professional Service Agreement (PSA) Amount]]+Project_List[[#This Row],[Final Construction Costs]]+Project_List[[#This Row],[Estimated COA
Engineering / 
Admin]]</f>
        <v>400000</v>
      </c>
      <c r="AH55" s="13">
        <f>Project_List[[#This Row],[Overall Budget]]-Project_List[[#This Row],[Total Anticipated Costs (PSA+Est+COA Est)]]-Project_List[[#This Row],[Anticipated Costs Unincombered]]</f>
        <v>0</v>
      </c>
      <c r="AI55" s="1" t="s">
        <v>10</v>
      </c>
      <c r="AJ55" s="40">
        <v>-6978</v>
      </c>
      <c r="AK55" s="32" t="s">
        <v>10</v>
      </c>
      <c r="AL55" s="1">
        <v>0</v>
      </c>
      <c r="AW55" s="41"/>
    </row>
    <row r="56" spans="1:49" ht="30" x14ac:dyDescent="0.25">
      <c r="A56" s="1" t="s">
        <v>255</v>
      </c>
      <c r="B56" s="1">
        <v>30</v>
      </c>
      <c r="C56" s="27" t="str">
        <f>LOOKUP(Project_List[[#This Row],[Fund No.]],'Code Lookup'!A$9:A$53,'Code Lookup'!B$9:B$53)</f>
        <v>Local Option Sales Tax</v>
      </c>
      <c r="D56" s="1" t="s">
        <v>327</v>
      </c>
      <c r="E56" s="28" t="s">
        <v>326</v>
      </c>
      <c r="F56" s="18" t="s">
        <v>63</v>
      </c>
      <c r="G56" s="1" t="s">
        <v>204</v>
      </c>
      <c r="H56" s="1" t="s">
        <v>49</v>
      </c>
      <c r="I56" s="32">
        <v>32000</v>
      </c>
      <c r="J56" s="28">
        <v>62021</v>
      </c>
      <c r="K56" s="2" t="s">
        <v>16</v>
      </c>
      <c r="L56" s="12">
        <v>0</v>
      </c>
      <c r="M56" s="13">
        <v>0</v>
      </c>
      <c r="N56" s="1" t="s">
        <v>255</v>
      </c>
      <c r="O56" s="1" t="s">
        <v>256</v>
      </c>
      <c r="P56" s="37">
        <v>45479</v>
      </c>
      <c r="Q56" s="37">
        <v>45505</v>
      </c>
      <c r="R56" s="37" t="s">
        <v>257</v>
      </c>
      <c r="S56" s="37">
        <v>45474</v>
      </c>
      <c r="T56" s="1" t="s">
        <v>3</v>
      </c>
      <c r="U56" s="1" t="s">
        <v>4</v>
      </c>
      <c r="V56" s="1" t="s">
        <v>12</v>
      </c>
      <c r="W56" s="1" t="s">
        <v>10</v>
      </c>
      <c r="X56" s="28" t="s">
        <v>10</v>
      </c>
      <c r="Y56" s="13">
        <v>33913.421405115798</v>
      </c>
      <c r="Z56" s="13">
        <v>30522.079264604217</v>
      </c>
      <c r="AA56" s="13"/>
      <c r="AB56" s="76"/>
      <c r="AC56" s="13">
        <v>33094.373779381269</v>
      </c>
      <c r="AD56" s="13"/>
      <c r="AE56" s="13"/>
      <c r="AF56" s="13">
        <f>Project_List[[#This Row],[Professional Service Agreement (PSA) Amount]]+Project_List[[#This Row],[Engineer''s Est]]+Project_List[[#This Row],[Estimated COA
Engineering / 
Admin]]</f>
        <v>33913.421405115798</v>
      </c>
      <c r="AG56" s="13">
        <f>Project_List[[#This Row],[Professional Service Agreement (PSA) Amount]]+Project_List[[#This Row],[Final Construction Costs]]+Project_List[[#This Row],[Estimated COA
Engineering / 
Admin]]</f>
        <v>33094.373779381269</v>
      </c>
      <c r="AH56" s="13">
        <f>Project_List[[#This Row],[Overall Budget]]-Project_List[[#This Row],[Total Anticipated Costs (PSA+Est+COA Est)]]-Project_List[[#This Row],[Anticipated Costs Unincombered]]</f>
        <v>-1913.4214051157978</v>
      </c>
      <c r="AI56" s="1" t="s">
        <v>10</v>
      </c>
      <c r="AJ56" s="40"/>
      <c r="AK56" s="36" t="s">
        <v>10</v>
      </c>
      <c r="AL56" s="1">
        <v>0</v>
      </c>
      <c r="AW56" s="41"/>
    </row>
    <row r="57" spans="1:49" ht="30" x14ac:dyDescent="0.25">
      <c r="A57" s="1" t="s">
        <v>255</v>
      </c>
      <c r="B57" s="1">
        <v>60</v>
      </c>
      <c r="C57" s="27" t="str">
        <f>LOOKUP(Project_List[[#This Row],[Fund No.]],'Code Lookup'!A$9:A$53,'Code Lookup'!B$9:B$53)</f>
        <v>Road Use Tax</v>
      </c>
      <c r="D57" s="1" t="s">
        <v>30</v>
      </c>
      <c r="E57" s="28" t="s">
        <v>201</v>
      </c>
      <c r="F57" s="18" t="s">
        <v>63</v>
      </c>
      <c r="G57" s="1" t="s">
        <v>204</v>
      </c>
      <c r="H57" s="1" t="s">
        <v>49</v>
      </c>
      <c r="I57" s="32">
        <v>38000</v>
      </c>
      <c r="J57" s="28">
        <v>62021</v>
      </c>
      <c r="K57" s="2" t="s">
        <v>16</v>
      </c>
      <c r="L57" s="12">
        <v>0</v>
      </c>
      <c r="M57" s="13">
        <v>0</v>
      </c>
      <c r="N57" s="1" t="s">
        <v>255</v>
      </c>
      <c r="O57" s="1" t="s">
        <v>256</v>
      </c>
      <c r="P57" s="37">
        <v>45479</v>
      </c>
      <c r="Q57" s="37">
        <v>45505</v>
      </c>
      <c r="R57" s="37" t="s">
        <v>257</v>
      </c>
      <c r="S57" s="37">
        <v>45474</v>
      </c>
      <c r="T57" s="1" t="s">
        <v>3</v>
      </c>
      <c r="U57" s="1" t="s">
        <v>4</v>
      </c>
      <c r="V57" s="1" t="s">
        <v>12</v>
      </c>
      <c r="W57" s="1" t="s">
        <v>10</v>
      </c>
      <c r="X57" s="1" t="s">
        <v>10</v>
      </c>
      <c r="Y57" s="13">
        <v>39861.578594884202</v>
      </c>
      <c r="Z57" s="13">
        <v>35875.420735395783</v>
      </c>
      <c r="AA57" s="13"/>
      <c r="AB57" s="76"/>
      <c r="AC57" s="13">
        <v>38898.876220618738</v>
      </c>
      <c r="AD57" s="13"/>
      <c r="AE57" s="13"/>
      <c r="AF57" s="13">
        <f>Project_List[[#This Row],[Professional Service Agreement (PSA) Amount]]+Project_List[[#This Row],[Engineer''s Est]]+Project_List[[#This Row],[Estimated COA
Engineering / 
Admin]]</f>
        <v>39861.578594884202</v>
      </c>
      <c r="AG57" s="13">
        <f>Project_List[[#This Row],[Professional Service Agreement (PSA) Amount]]+Project_List[[#This Row],[Final Construction Costs]]+Project_List[[#This Row],[Estimated COA
Engineering / 
Admin]]</f>
        <v>38898.876220618738</v>
      </c>
      <c r="AH57" s="13">
        <f>Project_List[[#This Row],[Overall Budget]]-Project_List[[#This Row],[Total Anticipated Costs (PSA+Est+COA Est)]]-Project_List[[#This Row],[Anticipated Costs Unincombered]]</f>
        <v>-1861.5785948842022</v>
      </c>
      <c r="AI57" s="1" t="s">
        <v>10</v>
      </c>
      <c r="AJ57" s="40"/>
      <c r="AK57" s="36" t="s">
        <v>10</v>
      </c>
      <c r="AL57" s="1">
        <v>0</v>
      </c>
      <c r="AW57" s="41"/>
    </row>
    <row r="58" spans="1:49" ht="30" x14ac:dyDescent="0.25">
      <c r="A58" s="1" t="s">
        <v>255</v>
      </c>
      <c r="B58" s="1">
        <v>510</v>
      </c>
      <c r="C58" s="27" t="str">
        <f>LOOKUP(Project_List[[#This Row],[Fund No.]],'Code Lookup'!A$9:A$53,'Code Lookup'!B$9:B$53)</f>
        <v>Water Utility</v>
      </c>
      <c r="D58" s="1" t="s">
        <v>64</v>
      </c>
      <c r="E58" s="28" t="s">
        <v>55</v>
      </c>
      <c r="F58" s="19" t="s">
        <v>90</v>
      </c>
      <c r="G58" s="1" t="s">
        <v>204</v>
      </c>
      <c r="H58" s="1" t="s">
        <v>49</v>
      </c>
      <c r="J58" s="28">
        <v>62021</v>
      </c>
      <c r="K58" s="2" t="s">
        <v>16</v>
      </c>
      <c r="L58" s="12">
        <v>0</v>
      </c>
      <c r="M58" s="13">
        <v>0</v>
      </c>
      <c r="N58" s="1" t="s">
        <v>255</v>
      </c>
      <c r="O58" s="1" t="s">
        <v>256</v>
      </c>
      <c r="P58" s="37">
        <v>45479</v>
      </c>
      <c r="Q58" s="37">
        <v>45505</v>
      </c>
      <c r="R58" s="37" t="s">
        <v>257</v>
      </c>
      <c r="S58" s="37">
        <v>45474</v>
      </c>
      <c r="T58" s="1" t="s">
        <v>3</v>
      </c>
      <c r="U58" s="1" t="s">
        <v>4</v>
      </c>
      <c r="V58" s="1" t="s">
        <v>12</v>
      </c>
      <c r="W58" s="1" t="s">
        <v>10</v>
      </c>
      <c r="X58" s="28" t="s">
        <v>10</v>
      </c>
      <c r="Y58" s="13">
        <v>0</v>
      </c>
      <c r="Z58" s="13">
        <v>0</v>
      </c>
      <c r="AA58" s="13"/>
      <c r="AB58" s="76"/>
      <c r="AC58" s="13">
        <v>27090</v>
      </c>
      <c r="AD58" s="13"/>
      <c r="AE58" s="13"/>
      <c r="AF58" s="13">
        <f>Project_List[[#This Row],[Professional Service Agreement (PSA) Amount]]+Project_List[[#This Row],[Engineer''s Est]]+Project_List[[#This Row],[Estimated COA
Engineering / 
Admin]]</f>
        <v>0</v>
      </c>
      <c r="AG58" s="13">
        <f>Project_List[[#This Row],[Professional Service Agreement (PSA) Amount]]+Project_List[[#This Row],[Final Construction Costs]]+Project_List[[#This Row],[Estimated COA
Engineering / 
Admin]]</f>
        <v>27090</v>
      </c>
      <c r="AH58" s="13">
        <f>Project_List[[#This Row],[Overall Budget]]-Project_List[[#This Row],[Total Anticipated Costs (PSA+Est+COA Est)]]-Project_List[[#This Row],[Anticipated Costs Unincombered]]</f>
        <v>0</v>
      </c>
      <c r="AI58" s="1" t="s">
        <v>10</v>
      </c>
      <c r="AJ58" s="40"/>
      <c r="AK58" s="36" t="s">
        <v>10</v>
      </c>
      <c r="AL58" s="1">
        <v>0</v>
      </c>
      <c r="AW58" s="41"/>
    </row>
    <row r="59" spans="1:49" ht="30" x14ac:dyDescent="0.25">
      <c r="A59" s="1" t="s">
        <v>255</v>
      </c>
      <c r="B59" s="1">
        <v>60</v>
      </c>
      <c r="C59" s="27" t="str">
        <f>LOOKUP(Project_List[[#This Row],[Fund No.]],'Code Lookup'!A$9:A$53,'Code Lookup'!B$9:B$53)</f>
        <v>Road Use Tax</v>
      </c>
      <c r="D59" s="1" t="s">
        <v>30</v>
      </c>
      <c r="E59" s="28" t="s">
        <v>216</v>
      </c>
      <c r="F59" s="18" t="s">
        <v>218</v>
      </c>
      <c r="G59" s="1" t="s">
        <v>153</v>
      </c>
      <c r="H59" s="1" t="s">
        <v>49</v>
      </c>
      <c r="I59" s="32">
        <v>300000</v>
      </c>
      <c r="J59" s="28">
        <v>61683</v>
      </c>
      <c r="K59" s="1" t="s">
        <v>0</v>
      </c>
      <c r="L59" s="13">
        <v>0</v>
      </c>
      <c r="M59" s="13">
        <v>0</v>
      </c>
      <c r="N59" s="1" t="s">
        <v>254</v>
      </c>
      <c r="O59" s="1" t="s">
        <v>255</v>
      </c>
      <c r="P59" s="37">
        <v>45047</v>
      </c>
      <c r="Q59" s="37">
        <v>45301</v>
      </c>
      <c r="R59" s="37" t="s">
        <v>256</v>
      </c>
      <c r="S59" s="37">
        <v>45322</v>
      </c>
      <c r="T59" s="1" t="s">
        <v>14</v>
      </c>
      <c r="U59" s="1" t="s">
        <v>0</v>
      </c>
      <c r="V59" s="1" t="s">
        <v>18</v>
      </c>
      <c r="W59" s="1" t="s">
        <v>10</v>
      </c>
      <c r="X59" s="1" t="s">
        <v>10</v>
      </c>
      <c r="Y59" s="13">
        <v>300000</v>
      </c>
      <c r="Z59" s="13">
        <v>300000</v>
      </c>
      <c r="AA59" s="13"/>
      <c r="AB59" s="76"/>
      <c r="AC59" s="13">
        <v>300000</v>
      </c>
      <c r="AD59" s="13"/>
      <c r="AE59" s="13"/>
      <c r="AF59" s="13">
        <f>Project_List[[#This Row],[Professional Service Agreement (PSA) Amount]]+Project_List[[#This Row],[Engineer''s Est]]+Project_List[[#This Row],[Estimated COA
Engineering / 
Admin]]</f>
        <v>300000</v>
      </c>
      <c r="AG59" s="13">
        <f>Project_List[[#This Row],[Professional Service Agreement (PSA) Amount]]+Project_List[[#This Row],[Final Construction Costs]]+Project_List[[#This Row],[Estimated COA
Engineering / 
Admin]]</f>
        <v>300000</v>
      </c>
      <c r="AH59" s="13">
        <f>Project_List[[#This Row],[Overall Budget]]-Project_List[[#This Row],[Total Anticipated Costs (PSA+Est+COA Est)]]-Project_List[[#This Row],[Anticipated Costs Unincombered]]</f>
        <v>0</v>
      </c>
      <c r="AI59" s="1" t="s">
        <v>10</v>
      </c>
      <c r="AJ59" s="40"/>
      <c r="AK59" s="36" t="s">
        <v>10</v>
      </c>
      <c r="AL59" s="1">
        <v>1</v>
      </c>
      <c r="AW59" s="41"/>
    </row>
    <row r="60" spans="1:49" ht="75" x14ac:dyDescent="0.25">
      <c r="A60" s="1" t="s">
        <v>255</v>
      </c>
      <c r="B60" s="2">
        <v>384</v>
      </c>
      <c r="C60" s="27" t="str">
        <f>LOOKUP(Project_List[[#This Row],[Fund No.]],'Code Lookup'!A$9:A$53,'Code Lookup'!B$9:B$53)</f>
        <v>2023/24 GO Bonds</v>
      </c>
      <c r="D60" s="2" t="s">
        <v>30</v>
      </c>
      <c r="E60" s="27" t="s">
        <v>208</v>
      </c>
      <c r="F60" s="20" t="s">
        <v>318</v>
      </c>
      <c r="G60" s="1" t="s">
        <v>209</v>
      </c>
      <c r="H60" s="1" t="s">
        <v>49</v>
      </c>
      <c r="I60" s="32">
        <v>400000</v>
      </c>
      <c r="J60" s="28">
        <v>62065</v>
      </c>
      <c r="K60" s="1" t="s">
        <v>16</v>
      </c>
      <c r="L60" s="13">
        <v>0</v>
      </c>
      <c r="M60" s="13">
        <v>0</v>
      </c>
      <c r="N60" s="1" t="s">
        <v>255</v>
      </c>
      <c r="O60" s="1" t="s">
        <v>255</v>
      </c>
      <c r="P60" s="37">
        <v>45041</v>
      </c>
      <c r="Q60" s="44"/>
      <c r="R60" s="44" t="s">
        <v>273</v>
      </c>
      <c r="S60" s="44">
        <v>45657</v>
      </c>
      <c r="T60" s="2" t="s">
        <v>14</v>
      </c>
      <c r="U60" s="1" t="s">
        <v>0</v>
      </c>
      <c r="V60" s="1" t="s">
        <v>25</v>
      </c>
      <c r="W60" s="1" t="s">
        <v>10</v>
      </c>
      <c r="X60" s="28" t="s">
        <v>10</v>
      </c>
      <c r="Y60" s="13">
        <v>400000</v>
      </c>
      <c r="Z60" s="13">
        <v>400000</v>
      </c>
      <c r="AA60" s="13"/>
      <c r="AB60" s="76"/>
      <c r="AC60" s="13">
        <v>400000</v>
      </c>
      <c r="AD60" s="13"/>
      <c r="AE60" s="13"/>
      <c r="AF60" s="13">
        <f>Project_List[[#This Row],[Professional Service Agreement (PSA) Amount]]+Project_List[[#This Row],[Engineer''s Est]]+Project_List[[#This Row],[Estimated COA
Engineering / 
Admin]]</f>
        <v>400000</v>
      </c>
      <c r="AG60" s="13">
        <f>Project_List[[#This Row],[Professional Service Agreement (PSA) Amount]]+Project_List[[#This Row],[Final Construction Costs]]+Project_List[[#This Row],[Estimated COA
Engineering / 
Admin]]</f>
        <v>400000</v>
      </c>
      <c r="AH60" s="13">
        <f>Project_List[[#This Row],[Overall Budget]]-Project_List[[#This Row],[Total Anticipated Costs (PSA+Est+COA Est)]]-Project_List[[#This Row],[Anticipated Costs Unincombered]]</f>
        <v>0</v>
      </c>
      <c r="AI60" s="1" t="s">
        <v>10</v>
      </c>
      <c r="AJ60" s="40">
        <v>-6978</v>
      </c>
      <c r="AK60" s="32" t="s">
        <v>10</v>
      </c>
      <c r="AL60" s="1">
        <v>0</v>
      </c>
      <c r="AW60" s="41"/>
    </row>
    <row r="61" spans="1:49" ht="75" x14ac:dyDescent="0.25">
      <c r="A61" s="1" t="s">
        <v>255</v>
      </c>
      <c r="B61" s="1">
        <v>510</v>
      </c>
      <c r="C61" s="28" t="str">
        <f>LOOKUP(Project_List[[#This Row],[Fund No.]],'Code Lookup'!A$9:A$53,'Code Lookup'!B$9:B$53)</f>
        <v>Water Utility</v>
      </c>
      <c r="D61" s="1" t="s">
        <v>30</v>
      </c>
      <c r="E61" s="28" t="s">
        <v>332</v>
      </c>
      <c r="F61" s="1" t="s">
        <v>333</v>
      </c>
      <c r="G61" s="1" t="s">
        <v>209</v>
      </c>
      <c r="H61" s="32" t="s">
        <v>49</v>
      </c>
      <c r="J61" s="28">
        <v>60913</v>
      </c>
      <c r="K61" s="8"/>
      <c r="L61" s="21">
        <v>0</v>
      </c>
      <c r="M61" s="23">
        <v>0</v>
      </c>
      <c r="N61" s="1" t="s">
        <v>255</v>
      </c>
      <c r="O61" s="1" t="s">
        <v>255</v>
      </c>
      <c r="P61" s="37">
        <v>45041</v>
      </c>
      <c r="Q61" s="37"/>
      <c r="R61" s="44" t="s">
        <v>273</v>
      </c>
      <c r="S61" s="37">
        <v>45657</v>
      </c>
      <c r="T61" s="32" t="s">
        <v>2</v>
      </c>
      <c r="U61" s="32" t="s">
        <v>0</v>
      </c>
      <c r="V61" s="1" t="s">
        <v>334</v>
      </c>
      <c r="W61" s="1" t="s">
        <v>10</v>
      </c>
      <c r="X61" s="1" t="s">
        <v>10</v>
      </c>
      <c r="Y61" s="13"/>
      <c r="Z61" s="13"/>
      <c r="AA61" s="13"/>
      <c r="AB61" s="76"/>
      <c r="AC61" s="14">
        <v>4681.4290000000001</v>
      </c>
      <c r="AD61" s="14">
        <v>32895.599999999999</v>
      </c>
      <c r="AE61" s="14">
        <v>32895.599999999999</v>
      </c>
      <c r="AF61" s="14">
        <f>Project_List[[#This Row],[Professional Service Agreement (PSA) Amount]]+Project_List[[#This Row],[Engineer''s Est]]+Project_List[[#This Row],[Estimated COA
Engineering / 
Admin]]</f>
        <v>32895.599999999999</v>
      </c>
      <c r="AG61" s="13">
        <f>Project_List[[#This Row],[Professional Service Agreement (PSA) Amount]]+Project_List[[#This Row],[Final Construction Costs]]+Project_List[[#This Row],[Estimated COA
Engineering / 
Admin]]</f>
        <v>37577.028999999995</v>
      </c>
      <c r="AH61" s="13">
        <f>Project_List[[#This Row],[Overall Budget]]-Project_List[[#This Row],[Total Anticipated Costs (PSA+Est+COA Est)]]-Project_List[[#This Row],[Anticipated Costs Unincombered]]</f>
        <v>-32895.599999999999</v>
      </c>
      <c r="AI61" s="2"/>
      <c r="AJ61" s="42">
        <v>328956</v>
      </c>
      <c r="AK61" s="36" t="s">
        <v>10</v>
      </c>
      <c r="AL61" s="1">
        <v>1</v>
      </c>
      <c r="AW61" s="41"/>
    </row>
    <row r="62" spans="1:49" ht="30" x14ac:dyDescent="0.25">
      <c r="A62" s="1" t="s">
        <v>255</v>
      </c>
      <c r="B62" s="6">
        <v>320</v>
      </c>
      <c r="C62" s="27" t="str">
        <f>LOOKUP(Project_List[[#This Row],[Fund No.]],'Code Lookup'!A$9:A$53,'Code Lookup'!B$9:B$53)</f>
        <v>Street Construction</v>
      </c>
      <c r="D62" s="6" t="s">
        <v>30</v>
      </c>
      <c r="E62" s="29" t="s">
        <v>554</v>
      </c>
      <c r="F62" s="19" t="s">
        <v>319</v>
      </c>
      <c r="G62" s="1" t="s">
        <v>152</v>
      </c>
      <c r="H62" s="1" t="s">
        <v>49</v>
      </c>
      <c r="I62" s="32">
        <v>1686000</v>
      </c>
      <c r="J62" s="28">
        <v>62918</v>
      </c>
      <c r="K62" s="1" t="s">
        <v>16</v>
      </c>
      <c r="L62" s="13">
        <v>0</v>
      </c>
      <c r="M62" s="13">
        <v>0</v>
      </c>
      <c r="N62" s="1" t="s">
        <v>256</v>
      </c>
      <c r="O62" s="1" t="s">
        <v>256</v>
      </c>
      <c r="P62" s="37">
        <v>45352</v>
      </c>
      <c r="Q62" s="37">
        <v>45672</v>
      </c>
      <c r="R62" s="37" t="s">
        <v>257</v>
      </c>
      <c r="S62" s="37">
        <v>45688</v>
      </c>
      <c r="T62" s="1" t="s">
        <v>3</v>
      </c>
      <c r="U62" s="1" t="s">
        <v>4</v>
      </c>
      <c r="V62" s="1" t="s">
        <v>12</v>
      </c>
      <c r="W62" s="1" t="s">
        <v>13</v>
      </c>
      <c r="X62" s="28" t="s">
        <v>10</v>
      </c>
      <c r="Y62" s="13">
        <v>1930068.29</v>
      </c>
      <c r="Z62" s="13">
        <v>1686000</v>
      </c>
      <c r="AA62" s="13"/>
      <c r="AB62" s="76"/>
      <c r="AC62" s="13">
        <v>1686000</v>
      </c>
      <c r="AD62" s="13"/>
      <c r="AE62" s="13"/>
      <c r="AF62" s="13">
        <f>Project_List[[#This Row],[Professional Service Agreement (PSA) Amount]]+Project_List[[#This Row],[Engineer''s Est]]+Project_List[[#This Row],[Estimated COA
Engineering / 
Admin]]</f>
        <v>1930068.29</v>
      </c>
      <c r="AG62" s="13">
        <f>Project_List[[#This Row],[Professional Service Agreement (PSA) Amount]]+Project_List[[#This Row],[Final Construction Costs]]+Project_List[[#This Row],[Estimated COA
Engineering / 
Admin]]</f>
        <v>1686000</v>
      </c>
      <c r="AH62" s="13">
        <f>Project_List[[#This Row],[Overall Budget]]-Project_List[[#This Row],[Total Anticipated Costs (PSA+Est+COA Est)]]-Project_List[[#This Row],[Anticipated Costs Unincombered]]</f>
        <v>-244068.29000000004</v>
      </c>
      <c r="AI62" s="1" t="s">
        <v>10</v>
      </c>
      <c r="AJ62" s="40">
        <v>0</v>
      </c>
      <c r="AK62" s="32" t="s">
        <v>10</v>
      </c>
      <c r="AL62" s="1">
        <v>0</v>
      </c>
      <c r="AW62" s="41"/>
    </row>
    <row r="63" spans="1:49" ht="30" x14ac:dyDescent="0.25">
      <c r="A63" s="1" t="s">
        <v>255</v>
      </c>
      <c r="B63" s="1">
        <v>383</v>
      </c>
      <c r="C63" s="2" t="str">
        <f>LOOKUP(Project_List[[#This Row],[Fund No.]],'Code Lookup'!A$9:A$53,'Code Lookup'!B$9:B$53)</f>
        <v>2022/23 GO Bonds</v>
      </c>
      <c r="D63" s="1" t="s">
        <v>30</v>
      </c>
      <c r="E63" s="1" t="s">
        <v>199</v>
      </c>
      <c r="F63" s="18" t="s">
        <v>63</v>
      </c>
      <c r="G63" s="1" t="s">
        <v>204</v>
      </c>
      <c r="H63" s="1" t="s">
        <v>49</v>
      </c>
      <c r="I63" s="32">
        <v>2000000</v>
      </c>
      <c r="J63" s="1">
        <v>62021</v>
      </c>
      <c r="K63" s="1" t="s">
        <v>16</v>
      </c>
      <c r="L63" s="13">
        <v>122800</v>
      </c>
      <c r="M63" s="13">
        <v>122800</v>
      </c>
      <c r="N63" s="1" t="s">
        <v>255</v>
      </c>
      <c r="O63" s="1" t="s">
        <v>256</v>
      </c>
      <c r="P63" s="37">
        <v>45479</v>
      </c>
      <c r="Q63" s="37">
        <v>45505</v>
      </c>
      <c r="R63" s="37" t="s">
        <v>257</v>
      </c>
      <c r="S63" s="37">
        <v>45474</v>
      </c>
      <c r="T63" s="1" t="s">
        <v>3</v>
      </c>
      <c r="U63" s="1" t="s">
        <v>4</v>
      </c>
      <c r="V63" s="1" t="s">
        <v>12</v>
      </c>
      <c r="W63" s="1" t="s">
        <v>10</v>
      </c>
      <c r="X63" s="1" t="s">
        <v>10</v>
      </c>
      <c r="Y63" s="13">
        <v>1688576.9</v>
      </c>
      <c r="Z63" s="13">
        <v>1772978.4</v>
      </c>
      <c r="AA63" s="13"/>
      <c r="AB63" s="76"/>
      <c r="AC63" s="13">
        <v>1772902.27</v>
      </c>
      <c r="AD63" s="13">
        <v>0</v>
      </c>
      <c r="AE63" s="13">
        <v>0</v>
      </c>
      <c r="AF63" s="13">
        <f>Project_List[[#This Row],[Professional Service Agreement (PSA) Amount]]+Project_List[[#This Row],[Engineer''s Est]]+Project_List[[#This Row],[Estimated COA
Engineering / 
Admin]]</f>
        <v>1811376.9</v>
      </c>
      <c r="AG63" s="13">
        <f>Project_List[[#This Row],[Professional Service Agreement (PSA) Amount]]+Project_List[[#This Row],[Final Construction Costs]]+Project_List[[#This Row],[Estimated COA
Engineering / 
Admin]]</f>
        <v>1895702.27</v>
      </c>
      <c r="AH63" s="13">
        <f>Project_List[[#This Row],[Overall Budget]]-Project_List[[#This Row],[Total Anticipated Costs (PSA+Est+COA Est)]]-Project_List[[#This Row],[Anticipated Costs Unincombered]]</f>
        <v>188623.10000000009</v>
      </c>
      <c r="AI63" s="1" t="s">
        <v>10</v>
      </c>
      <c r="AJ63" s="32">
        <v>703</v>
      </c>
      <c r="AK63" s="32" t="s">
        <v>10</v>
      </c>
      <c r="AL63" s="1">
        <v>0</v>
      </c>
      <c r="AW63" s="41"/>
    </row>
    <row r="64" spans="1:49" ht="30" x14ac:dyDescent="0.25">
      <c r="A64" s="1" t="s">
        <v>255</v>
      </c>
      <c r="B64" s="2">
        <v>383</v>
      </c>
      <c r="C64" s="27" t="str">
        <f>LOOKUP(Project_List[[#This Row],[Fund No.]],'Code Lookup'!A$9:A$53,'Code Lookup'!B$9:B$53)</f>
        <v>2022/23 GO Bonds</v>
      </c>
      <c r="D64" s="2" t="s">
        <v>223</v>
      </c>
      <c r="E64" s="27" t="s">
        <v>224</v>
      </c>
      <c r="F64" s="2" t="s">
        <v>19</v>
      </c>
      <c r="G64" s="2" t="s">
        <v>20</v>
      </c>
      <c r="H64" s="2" t="s">
        <v>49</v>
      </c>
      <c r="I64" s="8">
        <v>342338</v>
      </c>
      <c r="J64" s="27">
        <v>61681</v>
      </c>
      <c r="K64" s="2" t="s">
        <v>4</v>
      </c>
      <c r="L64" s="12">
        <v>0</v>
      </c>
      <c r="M64" s="12">
        <v>0</v>
      </c>
      <c r="N64" s="1" t="s">
        <v>255</v>
      </c>
      <c r="O64" s="1" t="s">
        <v>255</v>
      </c>
      <c r="P64" s="44">
        <v>45017</v>
      </c>
      <c r="Q64" s="44">
        <v>45138</v>
      </c>
      <c r="R64" s="44" t="s">
        <v>256</v>
      </c>
      <c r="S64" s="44">
        <v>45230</v>
      </c>
      <c r="T64" s="2" t="s">
        <v>14</v>
      </c>
      <c r="U64" s="2" t="s">
        <v>4</v>
      </c>
      <c r="V64" s="2" t="s">
        <v>21</v>
      </c>
      <c r="W64" s="1" t="s">
        <v>10</v>
      </c>
      <c r="X64" s="28" t="s">
        <v>10</v>
      </c>
      <c r="Y64" s="12">
        <v>264032.25</v>
      </c>
      <c r="Z64" s="13">
        <v>228269.5</v>
      </c>
      <c r="AA64" s="13"/>
      <c r="AB64" s="76"/>
      <c r="AC64" s="13">
        <v>227964.9</v>
      </c>
      <c r="AD64" s="13"/>
      <c r="AE64" s="13"/>
      <c r="AF64" s="13">
        <f>Project_List[[#This Row],[Professional Service Agreement (PSA) Amount]]+Project_List[[#This Row],[Engineer''s Est]]+Project_List[[#This Row],[Estimated COA
Engineering / 
Admin]]</f>
        <v>264032.25</v>
      </c>
      <c r="AG64" s="13">
        <f>Project_List[[#This Row],[Professional Service Agreement (PSA) Amount]]+Project_List[[#This Row],[Final Construction Costs]]+Project_List[[#This Row],[Estimated COA
Engineering / 
Admin]]</f>
        <v>227964.9</v>
      </c>
      <c r="AH64" s="13">
        <f>Project_List[[#This Row],[Overall Budget]]-Project_List[[#This Row],[Total Anticipated Costs (PSA+Est+COA Est)]]-Project_List[[#This Row],[Anticipated Costs Unincombered]]</f>
        <v>78305.75</v>
      </c>
      <c r="AI64" s="1" t="s">
        <v>10</v>
      </c>
      <c r="AJ64" s="40"/>
      <c r="AK64" s="36" t="s">
        <v>10</v>
      </c>
      <c r="AL64" s="1">
        <v>1</v>
      </c>
      <c r="AW64" s="41"/>
    </row>
    <row r="65" spans="1:49" ht="30" x14ac:dyDescent="0.25">
      <c r="A65" s="1" t="s">
        <v>255</v>
      </c>
      <c r="B65" s="1">
        <v>383</v>
      </c>
      <c r="C65" s="27" t="str">
        <f>LOOKUP(Project_List[[#This Row],[Fund No.]],'Code Lookup'!A$9:A$53,'Code Lookup'!B$9:B$53)</f>
        <v>2022/23 GO Bonds</v>
      </c>
      <c r="D65" s="1" t="s">
        <v>30</v>
      </c>
      <c r="E65" s="28" t="s">
        <v>217</v>
      </c>
      <c r="F65" s="18" t="s">
        <v>316</v>
      </c>
      <c r="G65" s="1" t="s">
        <v>153</v>
      </c>
      <c r="H65" s="1" t="s">
        <v>49</v>
      </c>
      <c r="I65" s="32">
        <v>750000</v>
      </c>
      <c r="J65" s="28">
        <v>61683</v>
      </c>
      <c r="K65" s="1" t="s">
        <v>0</v>
      </c>
      <c r="L65" s="13">
        <v>0</v>
      </c>
      <c r="M65" s="13">
        <v>0</v>
      </c>
      <c r="N65" s="1" t="s">
        <v>254</v>
      </c>
      <c r="O65" s="1" t="s">
        <v>255</v>
      </c>
      <c r="P65" s="37">
        <v>45047</v>
      </c>
      <c r="Q65" s="37">
        <v>45301</v>
      </c>
      <c r="R65" s="37" t="s">
        <v>256</v>
      </c>
      <c r="S65" s="37">
        <v>45322</v>
      </c>
      <c r="T65" s="1" t="s">
        <v>14</v>
      </c>
      <c r="U65" s="1" t="s">
        <v>0</v>
      </c>
      <c r="V65" s="1" t="s">
        <v>18</v>
      </c>
      <c r="W65" s="1" t="s">
        <v>10</v>
      </c>
      <c r="X65" s="1" t="s">
        <v>10</v>
      </c>
      <c r="Y65" s="13">
        <f>873372.9-Y64</f>
        <v>609340.65</v>
      </c>
      <c r="Z65" s="13">
        <f>722863.45-Z64</f>
        <v>494593.94999999995</v>
      </c>
      <c r="AA65" s="13"/>
      <c r="AB65" s="76"/>
      <c r="AC65" s="13">
        <f>714728.49-AC64</f>
        <v>486763.58999999997</v>
      </c>
      <c r="AD65" s="13"/>
      <c r="AE65" s="13"/>
      <c r="AF65" s="13">
        <f>Project_List[[#This Row],[Professional Service Agreement (PSA) Amount]]+Project_List[[#This Row],[Engineer''s Est]]+Project_List[[#This Row],[Estimated COA
Engineering / 
Admin]]</f>
        <v>609340.65</v>
      </c>
      <c r="AG65" s="13">
        <f>Project_List[[#This Row],[Professional Service Agreement (PSA) Amount]]+Project_List[[#This Row],[Final Construction Costs]]+Project_List[[#This Row],[Estimated COA
Engineering / 
Admin]]</f>
        <v>486763.58999999997</v>
      </c>
      <c r="AH65" s="13">
        <f>Project_List[[#This Row],[Overall Budget]]-Project_List[[#This Row],[Total Anticipated Costs (PSA+Est+COA Est)]]-Project_List[[#This Row],[Anticipated Costs Unincombered]]</f>
        <v>140659.34999999998</v>
      </c>
      <c r="AI65" s="1" t="s">
        <v>10</v>
      </c>
      <c r="AJ65" s="40"/>
      <c r="AK65" s="36" t="s">
        <v>10</v>
      </c>
      <c r="AL65" s="1">
        <v>0</v>
      </c>
      <c r="AW65" s="41"/>
    </row>
    <row r="66" spans="1:49" ht="30" x14ac:dyDescent="0.25">
      <c r="A66" s="1" t="s">
        <v>255</v>
      </c>
      <c r="B66" s="2">
        <v>383</v>
      </c>
      <c r="C66" s="27" t="str">
        <f>LOOKUP(Project_List[[#This Row],[Fund No.]],'Code Lookup'!A$9:A$53,'Code Lookup'!B$9:B$53)</f>
        <v>2022/23 GO Bonds</v>
      </c>
      <c r="D66" s="2" t="s">
        <v>30</v>
      </c>
      <c r="E66" s="27" t="s">
        <v>199</v>
      </c>
      <c r="F66" s="20" t="s">
        <v>63</v>
      </c>
      <c r="G66" s="1" t="s">
        <v>151</v>
      </c>
      <c r="H66" s="1" t="s">
        <v>49</v>
      </c>
      <c r="I66" s="32">
        <v>1000000</v>
      </c>
      <c r="J66" s="28">
        <v>61495</v>
      </c>
      <c r="K66" s="1" t="s">
        <v>4</v>
      </c>
      <c r="L66" s="13"/>
      <c r="M66" s="13"/>
      <c r="N66" s="1" t="s">
        <v>255</v>
      </c>
      <c r="O66" s="1" t="s">
        <v>255</v>
      </c>
      <c r="P66" s="37">
        <v>45047</v>
      </c>
      <c r="Q66" s="37">
        <v>45291</v>
      </c>
      <c r="R66" s="37" t="s">
        <v>256</v>
      </c>
      <c r="S66" s="37">
        <v>45291</v>
      </c>
      <c r="T66" s="2"/>
      <c r="U66" s="2" t="s">
        <v>4</v>
      </c>
      <c r="V66" s="1" t="s">
        <v>18</v>
      </c>
      <c r="W66" s="1" t="s">
        <v>10</v>
      </c>
      <c r="X66" s="28" t="s">
        <v>10</v>
      </c>
      <c r="Y66" s="13">
        <v>840378.75</v>
      </c>
      <c r="Z66" s="13">
        <v>828193.84</v>
      </c>
      <c r="AA66" s="13"/>
      <c r="AB66" s="76"/>
      <c r="AC66" s="13">
        <v>826239.40099999995</v>
      </c>
      <c r="AD66" s="13"/>
      <c r="AE66" s="13"/>
      <c r="AF66" s="13">
        <f>Project_List[[#This Row],[Professional Service Agreement (PSA) Amount]]+Project_List[[#This Row],[Engineer''s Est]]+Project_List[[#This Row],[Estimated COA
Engineering / 
Admin]]</f>
        <v>840378.75</v>
      </c>
      <c r="AG66" s="13">
        <f>Project_List[[#This Row],[Professional Service Agreement (PSA) Amount]]+Project_List[[#This Row],[Final Construction Costs]]+Project_List[[#This Row],[Estimated COA
Engineering / 
Admin]]</f>
        <v>826239.40099999995</v>
      </c>
      <c r="AH66" s="13">
        <f>Project_List[[#This Row],[Overall Budget]]-Project_List[[#This Row],[Total Anticipated Costs (PSA+Est+COA Est)]]-Project_List[[#This Row],[Anticipated Costs Unincombered]]</f>
        <v>159621.25</v>
      </c>
      <c r="AI66" s="1" t="s">
        <v>10</v>
      </c>
      <c r="AJ66" s="40"/>
      <c r="AK66" s="36" t="s">
        <v>10</v>
      </c>
      <c r="AL66" s="1">
        <v>0</v>
      </c>
      <c r="AW66" s="41"/>
    </row>
    <row r="67" spans="1:49" ht="30" x14ac:dyDescent="0.25">
      <c r="A67" s="1" t="s">
        <v>255</v>
      </c>
      <c r="B67" s="6">
        <v>383</v>
      </c>
      <c r="C67" s="27" t="str">
        <f>LOOKUP(Project_List[[#This Row],[Fund No.]],'Code Lookup'!A$9:A$53,'Code Lookup'!B$9:B$53)</f>
        <v>2022/23 GO Bonds</v>
      </c>
      <c r="D67" s="1" t="s">
        <v>30</v>
      </c>
      <c r="E67" s="29" t="s">
        <v>214</v>
      </c>
      <c r="F67" s="19" t="s">
        <v>471</v>
      </c>
      <c r="G67" s="6" t="s">
        <v>213</v>
      </c>
      <c r="H67" s="1" t="s">
        <v>49</v>
      </c>
      <c r="I67" s="32">
        <v>250000</v>
      </c>
      <c r="J67" s="28">
        <v>61682</v>
      </c>
      <c r="K67" s="1" t="s">
        <v>0</v>
      </c>
      <c r="L67" s="13">
        <v>0</v>
      </c>
      <c r="M67" s="13">
        <v>0</v>
      </c>
      <c r="N67" s="1" t="s">
        <v>255</v>
      </c>
      <c r="O67" s="1" t="s">
        <v>255</v>
      </c>
      <c r="P67" s="37">
        <v>45017</v>
      </c>
      <c r="Q67" s="44">
        <v>45047</v>
      </c>
      <c r="R67" s="44" t="s">
        <v>255</v>
      </c>
      <c r="S67" s="44">
        <v>45108</v>
      </c>
      <c r="T67" s="2" t="s">
        <v>14</v>
      </c>
      <c r="U67" s="1" t="s">
        <v>0</v>
      </c>
      <c r="V67" s="1" t="s">
        <v>21</v>
      </c>
      <c r="W67" s="1" t="s">
        <v>10</v>
      </c>
      <c r="X67" s="1" t="s">
        <v>10</v>
      </c>
      <c r="Y67" s="13">
        <v>133510</v>
      </c>
      <c r="Z67" s="13">
        <v>103062.3</v>
      </c>
      <c r="AA67" s="13"/>
      <c r="AB67" s="76"/>
      <c r="AC67" s="13">
        <v>103933.3</v>
      </c>
      <c r="AD67" s="13"/>
      <c r="AE67" s="13"/>
      <c r="AF67" s="13">
        <f>Project_List[[#This Row],[Professional Service Agreement (PSA) Amount]]+Project_List[[#This Row],[Engineer''s Est]]+Project_List[[#This Row],[Estimated COA
Engineering / 
Admin]]</f>
        <v>133510</v>
      </c>
      <c r="AG67" s="13">
        <f>Project_List[[#This Row],[Professional Service Agreement (PSA) Amount]]+Project_List[[#This Row],[Final Construction Costs]]+Project_List[[#This Row],[Estimated COA
Engineering / 
Admin]]</f>
        <v>103933.3</v>
      </c>
      <c r="AH67" s="13">
        <f>Project_List[[#This Row],[Overall Budget]]-Project_List[[#This Row],[Total Anticipated Costs (PSA+Est+COA Est)]]-Project_List[[#This Row],[Anticipated Costs Unincombered]]</f>
        <v>116490</v>
      </c>
      <c r="AI67" s="1" t="s">
        <v>10</v>
      </c>
      <c r="AJ67" s="40">
        <v>0</v>
      </c>
      <c r="AK67" s="36" t="s">
        <v>10</v>
      </c>
      <c r="AL67" s="1">
        <v>1</v>
      </c>
      <c r="AW67" s="41"/>
    </row>
    <row r="68" spans="1:49" ht="30" x14ac:dyDescent="0.25">
      <c r="A68" s="1" t="s">
        <v>255</v>
      </c>
      <c r="B68" s="2">
        <v>510</v>
      </c>
      <c r="C68" s="27" t="str">
        <f>LOOKUP(Project_List[[#This Row],[Fund No.]],'Code Lookup'!A$9:A$53,'Code Lookup'!B$9:B$53)</f>
        <v>Water Utility</v>
      </c>
      <c r="D68" s="2" t="s">
        <v>64</v>
      </c>
      <c r="E68" s="27" t="s">
        <v>55</v>
      </c>
      <c r="F68" s="19" t="s">
        <v>90</v>
      </c>
      <c r="G68" s="1" t="s">
        <v>151</v>
      </c>
      <c r="H68" s="1" t="s">
        <v>49</v>
      </c>
      <c r="J68" s="28">
        <v>61495</v>
      </c>
      <c r="K68" s="1" t="s">
        <v>4</v>
      </c>
      <c r="L68" s="13">
        <v>0</v>
      </c>
      <c r="M68" s="13">
        <v>0</v>
      </c>
      <c r="N68" s="1" t="s">
        <v>255</v>
      </c>
      <c r="O68" s="1" t="s">
        <v>255</v>
      </c>
      <c r="P68" s="37">
        <v>45047</v>
      </c>
      <c r="Q68" s="37">
        <v>45291</v>
      </c>
      <c r="R68" s="37" t="s">
        <v>256</v>
      </c>
      <c r="S68" s="37">
        <v>45291</v>
      </c>
      <c r="T68" s="2"/>
      <c r="U68" s="2" t="s">
        <v>4</v>
      </c>
      <c r="V68" s="1" t="s">
        <v>18</v>
      </c>
      <c r="W68" s="1" t="s">
        <v>10</v>
      </c>
      <c r="X68" s="28" t="s">
        <v>10</v>
      </c>
      <c r="Y68" s="13">
        <v>8200</v>
      </c>
      <c r="Z68" s="13">
        <v>8613</v>
      </c>
      <c r="AA68" s="13"/>
      <c r="AB68" s="76"/>
      <c r="AC68" s="13">
        <v>8613</v>
      </c>
      <c r="AD68" s="13"/>
      <c r="AE68" s="13"/>
      <c r="AF68" s="13">
        <f>Project_List[[#This Row],[Professional Service Agreement (PSA) Amount]]+Project_List[[#This Row],[Engineer''s Est]]+Project_List[[#This Row],[Estimated COA
Engineering / 
Admin]]</f>
        <v>8200</v>
      </c>
      <c r="AG68" s="13">
        <f>Project_List[[#This Row],[Professional Service Agreement (PSA) Amount]]+Project_List[[#This Row],[Final Construction Costs]]+Project_List[[#This Row],[Estimated COA
Engineering / 
Admin]]</f>
        <v>8613</v>
      </c>
      <c r="AH68" s="13">
        <f>Project_List[[#This Row],[Overall Budget]]-Project_List[[#This Row],[Total Anticipated Costs (PSA+Est+COA Est)]]-Project_List[[#This Row],[Anticipated Costs Unincombered]]</f>
        <v>-8200</v>
      </c>
      <c r="AI68" s="1" t="s">
        <v>10</v>
      </c>
      <c r="AJ68" s="40"/>
      <c r="AK68" s="36" t="s">
        <v>10</v>
      </c>
      <c r="AL68" s="1">
        <v>0</v>
      </c>
      <c r="AW68" s="41"/>
    </row>
    <row r="69" spans="1:49" ht="30" x14ac:dyDescent="0.25">
      <c r="A69" s="1" t="s">
        <v>255</v>
      </c>
      <c r="B69" s="1">
        <v>381</v>
      </c>
      <c r="C69" s="1" t="str">
        <f>LOOKUP(Project_List[[#This Row],[Fund No.]],'Code Lookup'!A$9:A$53,'Code Lookup'!B$9:B$53)</f>
        <v>2020/21 GO Bonds</v>
      </c>
      <c r="D69" s="1" t="s">
        <v>30</v>
      </c>
      <c r="E69" s="1" t="s">
        <v>380</v>
      </c>
      <c r="F69" s="1" t="s">
        <v>319</v>
      </c>
      <c r="G69" s="1" t="s">
        <v>152</v>
      </c>
      <c r="H69" s="32" t="s">
        <v>49</v>
      </c>
      <c r="I69" s="32">
        <v>463298</v>
      </c>
      <c r="J69" s="1">
        <v>62918</v>
      </c>
      <c r="K69" s="8" t="s">
        <v>16</v>
      </c>
      <c r="L69" s="21">
        <v>0</v>
      </c>
      <c r="M69" s="23">
        <v>0</v>
      </c>
      <c r="N69" s="1" t="s">
        <v>256</v>
      </c>
      <c r="O69" s="1" t="s">
        <v>256</v>
      </c>
      <c r="P69" s="37">
        <v>45352</v>
      </c>
      <c r="Q69" s="37">
        <v>45672</v>
      </c>
      <c r="R69" s="37" t="s">
        <v>257</v>
      </c>
      <c r="S69" s="37">
        <v>45688</v>
      </c>
      <c r="T69" s="32" t="s">
        <v>3</v>
      </c>
      <c r="U69" s="32" t="s">
        <v>4</v>
      </c>
      <c r="V69" s="1" t="s">
        <v>12</v>
      </c>
      <c r="W69" s="1" t="s">
        <v>13</v>
      </c>
      <c r="X69" s="1" t="s">
        <v>10</v>
      </c>
      <c r="Y69" s="13">
        <v>463298</v>
      </c>
      <c r="Z69" s="13">
        <v>463298</v>
      </c>
      <c r="AA69" s="13"/>
      <c r="AB69" s="76"/>
      <c r="AC69" s="13">
        <v>463298</v>
      </c>
      <c r="AD69" s="13">
        <v>0</v>
      </c>
      <c r="AE69" s="13">
        <v>0</v>
      </c>
      <c r="AF69" s="13">
        <f>Project_List[[#This Row],[Professional Service Agreement (PSA) Amount]]+Project_List[[#This Row],[Engineer''s Est]]+Project_List[[#This Row],[Estimated COA
Engineering / 
Admin]]</f>
        <v>463298</v>
      </c>
      <c r="AG69" s="13">
        <f>Project_List[[#This Row],[Professional Service Agreement (PSA) Amount]]+Project_List[[#This Row],[Final Construction Costs]]+Project_List[[#This Row],[Estimated COA
Engineering / 
Admin]]</f>
        <v>463298</v>
      </c>
      <c r="AH69" s="13">
        <f>Project_List[[#This Row],[Overall Budget]]-Project_List[[#This Row],[Total Anticipated Costs (PSA+Est+COA Est)]]-Project_List[[#This Row],[Anticipated Costs Unincombered]]</f>
        <v>0</v>
      </c>
      <c r="AJ69" s="32">
        <v>0</v>
      </c>
      <c r="AK69" s="32" t="s">
        <v>10</v>
      </c>
      <c r="AL69" s="1">
        <v>0</v>
      </c>
      <c r="AW69" s="41"/>
    </row>
    <row r="70" spans="1:49" ht="30" x14ac:dyDescent="0.25">
      <c r="A70" s="1" t="s">
        <v>255</v>
      </c>
      <c r="B70" s="1">
        <v>520</v>
      </c>
      <c r="C70" s="1" t="str">
        <f>LOOKUP(Project_List[[#This Row],[Fund No.]],'Code Lookup'!A$9:A$53,'Code Lookup'!B$9:B$53)</f>
        <v>Sewer Utility</v>
      </c>
      <c r="D70" s="1" t="s">
        <v>322</v>
      </c>
      <c r="E70" s="1" t="s">
        <v>335</v>
      </c>
      <c r="F70" s="1" t="s">
        <v>323</v>
      </c>
      <c r="G70" s="1" t="s">
        <v>204</v>
      </c>
      <c r="H70" s="32" t="s">
        <v>49</v>
      </c>
      <c r="J70" s="1">
        <v>60913</v>
      </c>
      <c r="K70" s="8"/>
      <c r="L70" s="21">
        <v>0</v>
      </c>
      <c r="M70" s="23">
        <v>0</v>
      </c>
      <c r="N70" s="1" t="s">
        <v>255</v>
      </c>
      <c r="O70" s="1" t="s">
        <v>256</v>
      </c>
      <c r="P70" s="37">
        <v>45479</v>
      </c>
      <c r="Q70" s="37">
        <v>45505</v>
      </c>
      <c r="R70" s="37" t="s">
        <v>257</v>
      </c>
      <c r="S70" s="37">
        <v>45474</v>
      </c>
      <c r="T70" s="32" t="s">
        <v>2</v>
      </c>
      <c r="U70" s="32" t="s">
        <v>4</v>
      </c>
      <c r="V70" s="1" t="s">
        <v>334</v>
      </c>
      <c r="W70" s="1" t="s">
        <v>10</v>
      </c>
      <c r="X70" s="28" t="s">
        <v>10</v>
      </c>
      <c r="Y70" s="13"/>
      <c r="Z70" s="13"/>
      <c r="AA70" s="13"/>
      <c r="AB70" s="76"/>
      <c r="AC70" s="13">
        <v>32845.699999999997</v>
      </c>
      <c r="AD70" s="13"/>
      <c r="AE70" s="13"/>
      <c r="AF70" s="13">
        <f>Project_List[[#This Row],[Professional Service Agreement (PSA) Amount]]+Project_List[[#This Row],[Engineer''s Est]]+Project_List[[#This Row],[Estimated COA
Engineering / 
Admin]]</f>
        <v>0</v>
      </c>
      <c r="AG70" s="13">
        <f>Project_List[[#This Row],[Professional Service Agreement (PSA) Amount]]+Project_List[[#This Row],[Final Construction Costs]]+Project_List[[#This Row],[Estimated COA
Engineering / 
Admin]]</f>
        <v>32845.699999999997</v>
      </c>
      <c r="AH70" s="13">
        <f>Project_List[[#This Row],[Overall Budget]]-Project_List[[#This Row],[Total Anticipated Costs (PSA+Est+COA Est)]]-Project_List[[#This Row],[Anticipated Costs Unincombered]]</f>
        <v>0</v>
      </c>
      <c r="AI70" s="2"/>
      <c r="AJ70" s="32"/>
      <c r="AK70" s="36" t="s">
        <v>10</v>
      </c>
      <c r="AL70" s="1">
        <v>1</v>
      </c>
      <c r="AW70" s="41"/>
    </row>
    <row r="71" spans="1:49" ht="30" x14ac:dyDescent="0.25">
      <c r="A71" s="1" t="s">
        <v>255</v>
      </c>
      <c r="B71" s="6">
        <v>30</v>
      </c>
      <c r="C71" s="2" t="str">
        <f>LOOKUP(Project_List[[#This Row],[Fund No.]],'Code Lookup'!A$9:A$53,'Code Lookup'!B$9:B$53)</f>
        <v>Local Option Sales Tax</v>
      </c>
      <c r="D71" s="6" t="s">
        <v>30</v>
      </c>
      <c r="E71" s="6" t="s">
        <v>381</v>
      </c>
      <c r="F71" s="19" t="s">
        <v>328</v>
      </c>
      <c r="G71" s="1" t="s">
        <v>152</v>
      </c>
      <c r="H71" s="1" t="s">
        <v>49</v>
      </c>
      <c r="I71" s="32">
        <v>172500</v>
      </c>
      <c r="J71" s="1">
        <v>62918</v>
      </c>
      <c r="K71" s="1" t="s">
        <v>16</v>
      </c>
      <c r="L71" s="13">
        <v>0</v>
      </c>
      <c r="M71" s="13">
        <v>0</v>
      </c>
      <c r="N71" s="1" t="s">
        <v>256</v>
      </c>
      <c r="O71" s="1" t="s">
        <v>256</v>
      </c>
      <c r="P71" s="37">
        <v>45352</v>
      </c>
      <c r="Q71" s="37">
        <v>45672</v>
      </c>
      <c r="R71" s="37" t="s">
        <v>257</v>
      </c>
      <c r="S71" s="37">
        <v>45688</v>
      </c>
      <c r="T71" s="1" t="s">
        <v>3</v>
      </c>
      <c r="U71" s="1" t="s">
        <v>4</v>
      </c>
      <c r="V71" s="1" t="s">
        <v>12</v>
      </c>
      <c r="W71" s="1" t="s">
        <v>13</v>
      </c>
      <c r="X71" s="1" t="s">
        <v>10</v>
      </c>
      <c r="Y71" s="13">
        <v>47635</v>
      </c>
      <c r="Z71" s="13">
        <v>100861</v>
      </c>
      <c r="AA71" s="13"/>
      <c r="AB71" s="76"/>
      <c r="AC71" s="13">
        <v>99537.56</v>
      </c>
      <c r="AD71" s="13"/>
      <c r="AE71" s="13"/>
      <c r="AF71" s="13">
        <f>Project_List[[#This Row],[Professional Service Agreement (PSA) Amount]]+Project_List[[#This Row],[Engineer''s Est]]+Project_List[[#This Row],[Estimated COA
Engineering / 
Admin]]</f>
        <v>47635</v>
      </c>
      <c r="AG71" s="13">
        <f>Project_List[[#This Row],[Professional Service Agreement (PSA) Amount]]+Project_List[[#This Row],[Final Construction Costs]]+Project_List[[#This Row],[Estimated COA
Engineering / 
Admin]]</f>
        <v>99537.56</v>
      </c>
      <c r="AH71" s="13">
        <f>Project_List[[#This Row],[Overall Budget]]-Project_List[[#This Row],[Total Anticipated Costs (PSA+Est+COA Est)]]-Project_List[[#This Row],[Anticipated Costs Unincombered]]</f>
        <v>124865</v>
      </c>
      <c r="AI71" s="1" t="s">
        <v>10</v>
      </c>
      <c r="AJ71" s="32">
        <v>71639</v>
      </c>
      <c r="AK71" s="32" t="s">
        <v>10</v>
      </c>
      <c r="AL71" s="1">
        <v>0</v>
      </c>
      <c r="AW71" s="41"/>
    </row>
    <row r="72" spans="1:49" ht="30" x14ac:dyDescent="0.25">
      <c r="A72" s="1" t="s">
        <v>255</v>
      </c>
      <c r="B72" s="1">
        <v>530</v>
      </c>
      <c r="C72" s="1" t="str">
        <f>LOOKUP(Project_List[[#This Row],[Fund No.]],'Code Lookup'!A$9:A$53,'Code Lookup'!B$9:B$53)</f>
        <v>Electric Services</v>
      </c>
      <c r="D72" s="1" t="s">
        <v>103</v>
      </c>
      <c r="E72" s="1" t="s">
        <v>131</v>
      </c>
      <c r="F72" s="1" t="s">
        <v>348</v>
      </c>
      <c r="G72" s="1" t="s">
        <v>152</v>
      </c>
      <c r="H72" s="32" t="s">
        <v>49</v>
      </c>
      <c r="I72" s="32">
        <v>47635</v>
      </c>
      <c r="J72" s="1">
        <v>62918</v>
      </c>
      <c r="K72" s="8" t="s">
        <v>349</v>
      </c>
      <c r="L72" s="21">
        <v>0</v>
      </c>
      <c r="M72" s="23">
        <v>0</v>
      </c>
      <c r="N72" s="1" t="s">
        <v>256</v>
      </c>
      <c r="O72" s="1" t="s">
        <v>256</v>
      </c>
      <c r="P72" s="37">
        <v>45352</v>
      </c>
      <c r="Q72" s="37">
        <v>45672</v>
      </c>
      <c r="R72" s="37" t="s">
        <v>257</v>
      </c>
      <c r="S72" s="37">
        <v>45688</v>
      </c>
      <c r="T72" s="32" t="s">
        <v>3</v>
      </c>
      <c r="U72" s="32" t="s">
        <v>4</v>
      </c>
      <c r="V72" s="1" t="s">
        <v>12</v>
      </c>
      <c r="W72" s="1" t="s">
        <v>13</v>
      </c>
      <c r="X72" s="28" t="s">
        <v>10</v>
      </c>
      <c r="Y72" s="13">
        <v>47635</v>
      </c>
      <c r="Z72" s="13">
        <v>47635</v>
      </c>
      <c r="AA72" s="13"/>
      <c r="AB72" s="76"/>
      <c r="AC72" s="13">
        <v>47320</v>
      </c>
      <c r="AD72" s="13"/>
      <c r="AE72" s="13"/>
      <c r="AF72" s="13">
        <f>Project_List[[#This Row],[Professional Service Agreement (PSA) Amount]]+Project_List[[#This Row],[Engineer''s Est]]+Project_List[[#This Row],[Estimated COA
Engineering / 
Admin]]</f>
        <v>47635</v>
      </c>
      <c r="AG72" s="13">
        <f>Project_List[[#This Row],[Professional Service Agreement (PSA) Amount]]+Project_List[[#This Row],[Final Construction Costs]]+Project_List[[#This Row],[Estimated COA
Engineering / 
Admin]]</f>
        <v>47320</v>
      </c>
      <c r="AH72" s="13">
        <f>Project_List[[#This Row],[Overall Budget]]-Project_List[[#This Row],[Total Anticipated Costs (PSA+Est+COA Est)]]-Project_List[[#This Row],[Anticipated Costs Unincombered]]</f>
        <v>0</v>
      </c>
      <c r="AJ72" s="32">
        <v>0</v>
      </c>
      <c r="AK72" s="32" t="s">
        <v>10</v>
      </c>
      <c r="AL72" s="1">
        <v>0</v>
      </c>
      <c r="AW72" s="41"/>
    </row>
    <row r="73" spans="1:49" ht="30" x14ac:dyDescent="0.25">
      <c r="A73" s="1" t="s">
        <v>255</v>
      </c>
      <c r="B73" s="6">
        <v>383</v>
      </c>
      <c r="C73" s="27" t="str">
        <f>LOOKUP(Project_List[[#This Row],[Fund No.]],'Code Lookup'!A$9:A$53,'Code Lookup'!B$9:B$53)</f>
        <v>2022/23 GO Bonds</v>
      </c>
      <c r="D73" s="6" t="s">
        <v>30</v>
      </c>
      <c r="E73" s="29" t="s">
        <v>382</v>
      </c>
      <c r="F73" s="19" t="s">
        <v>319</v>
      </c>
      <c r="G73" s="1" t="s">
        <v>152</v>
      </c>
      <c r="H73" s="1" t="s">
        <v>49</v>
      </c>
      <c r="I73" s="32">
        <f>1225000-I53</f>
        <v>775000</v>
      </c>
      <c r="J73" s="28">
        <v>62918</v>
      </c>
      <c r="K73" s="1" t="s">
        <v>16</v>
      </c>
      <c r="L73" s="13">
        <v>158700</v>
      </c>
      <c r="M73" s="13">
        <v>158700</v>
      </c>
      <c r="N73" s="1" t="s">
        <v>256</v>
      </c>
      <c r="O73" s="1" t="s">
        <v>256</v>
      </c>
      <c r="P73" s="37">
        <v>45352</v>
      </c>
      <c r="Q73" s="37">
        <v>45672</v>
      </c>
      <c r="R73" s="37" t="s">
        <v>257</v>
      </c>
      <c r="S73" s="37">
        <v>45688</v>
      </c>
      <c r="T73" s="1" t="s">
        <v>3</v>
      </c>
      <c r="U73" s="1" t="s">
        <v>4</v>
      </c>
      <c r="V73" s="1" t="s">
        <v>12</v>
      </c>
      <c r="W73" s="1" t="s">
        <v>13</v>
      </c>
      <c r="X73" s="1" t="s">
        <v>10</v>
      </c>
      <c r="Y73" s="13">
        <f>482517.07-Y190</f>
        <v>482517.07</v>
      </c>
      <c r="Z73" s="13">
        <f>686193.2-Z190</f>
        <v>686193.2</v>
      </c>
      <c r="AA73" s="13"/>
      <c r="AB73" s="76"/>
      <c r="AC73" s="13">
        <f>641030.96-AC190</f>
        <v>641030.96</v>
      </c>
      <c r="AD73" s="13">
        <v>100000</v>
      </c>
      <c r="AE73" s="13"/>
      <c r="AF73" s="13">
        <f>Project_List[[#This Row],[Professional Service Agreement (PSA) Amount]]+Project_List[[#This Row],[Engineer''s Est]]+Project_List[[#This Row],[Estimated COA
Engineering / 
Admin]]</f>
        <v>741217.07000000007</v>
      </c>
      <c r="AG73" s="13">
        <f>Project_List[[#This Row],[Professional Service Agreement (PSA) Amount]]+Project_List[[#This Row],[Final Construction Costs]]+Project_List[[#This Row],[Estimated COA
Engineering / 
Admin]]</f>
        <v>899730.96</v>
      </c>
      <c r="AH73" s="13">
        <f>Project_List[[#This Row],[Overall Budget]]-Project_List[[#This Row],[Total Anticipated Costs (PSA+Est+COA Est)]]-Project_List[[#This Row],[Anticipated Costs Unincombered]]</f>
        <v>33782.929999999935</v>
      </c>
      <c r="AI73" s="1" t="s">
        <v>10</v>
      </c>
      <c r="AJ73" s="40">
        <v>84332</v>
      </c>
      <c r="AK73" s="32" t="s">
        <v>10</v>
      </c>
      <c r="AL73" s="1">
        <v>0</v>
      </c>
      <c r="AW73" s="41"/>
    </row>
    <row r="74" spans="1:49" ht="30" x14ac:dyDescent="0.25">
      <c r="A74" s="1" t="s">
        <v>255</v>
      </c>
      <c r="B74" s="2">
        <v>520</v>
      </c>
      <c r="C74" s="2" t="str">
        <f>LOOKUP(Project_List[[#This Row],[Fund No.]],'Code Lookup'!A$9:A$53,'Code Lookup'!B$9:B$53)</f>
        <v>Sewer Utility</v>
      </c>
      <c r="D74" s="2" t="s">
        <v>322</v>
      </c>
      <c r="E74" s="2" t="s">
        <v>67</v>
      </c>
      <c r="F74" s="20" t="s">
        <v>66</v>
      </c>
      <c r="G74" s="2" t="s">
        <v>192</v>
      </c>
      <c r="H74" s="2" t="s">
        <v>49</v>
      </c>
      <c r="I74" s="8">
        <v>100000</v>
      </c>
      <c r="J74" s="2">
        <v>60907</v>
      </c>
      <c r="K74" s="2" t="s">
        <v>4</v>
      </c>
      <c r="L74" s="12">
        <v>0</v>
      </c>
      <c r="M74" s="12">
        <v>0</v>
      </c>
      <c r="N74" s="1" t="s">
        <v>254</v>
      </c>
      <c r="O74" s="1" t="s">
        <v>255</v>
      </c>
      <c r="P74" s="44">
        <v>45017</v>
      </c>
      <c r="Q74" s="44" t="s">
        <v>191</v>
      </c>
      <c r="R74" s="44" t="s">
        <v>255</v>
      </c>
      <c r="S74" s="44" t="s">
        <v>191</v>
      </c>
      <c r="T74" s="2"/>
      <c r="U74" s="2"/>
      <c r="V74" s="2" t="s">
        <v>15</v>
      </c>
      <c r="W74" s="45" t="s">
        <v>10</v>
      </c>
      <c r="X74" s="28" t="s">
        <v>10</v>
      </c>
      <c r="Y74" s="12">
        <v>134740</v>
      </c>
      <c r="Z74" s="13">
        <v>94500</v>
      </c>
      <c r="AA74" s="13"/>
      <c r="AB74" s="76"/>
      <c r="AC74" s="13">
        <v>91500</v>
      </c>
      <c r="AD74" s="13"/>
      <c r="AE74" s="13"/>
      <c r="AF74" s="13">
        <f>Project_List[[#This Row],[Professional Service Agreement (PSA) Amount]]+Project_List[[#This Row],[Engineer''s Est]]+Project_List[[#This Row],[Estimated COA
Engineering / 
Admin]]</f>
        <v>134740</v>
      </c>
      <c r="AG74" s="13">
        <f>Project_List[[#This Row],[Professional Service Agreement (PSA) Amount]]+Project_List[[#This Row],[Final Construction Costs]]+Project_List[[#This Row],[Estimated COA
Engineering / 
Admin]]</f>
        <v>91500</v>
      </c>
      <c r="AH74" s="13">
        <f>Project_List[[#This Row],[Overall Budget]]-Project_List[[#This Row],[Total Anticipated Costs (PSA+Est+COA Est)]]-Project_List[[#This Row],[Anticipated Costs Unincombered]]</f>
        <v>-34740</v>
      </c>
      <c r="AI74" s="1" t="s">
        <v>10</v>
      </c>
      <c r="AJ74" s="32"/>
      <c r="AK74" s="36" t="s">
        <v>10</v>
      </c>
      <c r="AL74" s="1">
        <v>1</v>
      </c>
      <c r="AW74" s="41"/>
    </row>
    <row r="75" spans="1:49" ht="75" x14ac:dyDescent="0.25">
      <c r="A75" s="1" t="s">
        <v>255</v>
      </c>
      <c r="B75" s="2">
        <v>520</v>
      </c>
      <c r="C75" s="2" t="str">
        <f>LOOKUP(Project_List[[#This Row],[Fund No.]],'Code Lookup'!A$9:A$53,'Code Lookup'!B$9:B$53)</f>
        <v>Sewer Utility</v>
      </c>
      <c r="D75" s="2" t="s">
        <v>322</v>
      </c>
      <c r="E75" s="2" t="s">
        <v>67</v>
      </c>
      <c r="F75" s="20" t="s">
        <v>133</v>
      </c>
      <c r="G75" s="1" t="s">
        <v>209</v>
      </c>
      <c r="H75" s="1" t="s">
        <v>49</v>
      </c>
      <c r="I75" s="32">
        <v>200000</v>
      </c>
      <c r="J75" s="1">
        <v>62065</v>
      </c>
      <c r="K75" s="1" t="s">
        <v>16</v>
      </c>
      <c r="L75" s="13">
        <v>0</v>
      </c>
      <c r="M75" s="13">
        <v>0</v>
      </c>
      <c r="N75" s="1" t="s">
        <v>255</v>
      </c>
      <c r="O75" s="1" t="s">
        <v>255</v>
      </c>
      <c r="P75" s="37">
        <v>45041</v>
      </c>
      <c r="Q75" s="44"/>
      <c r="R75" s="44" t="s">
        <v>273</v>
      </c>
      <c r="S75" s="44">
        <v>45657</v>
      </c>
      <c r="T75" s="2" t="s">
        <v>14</v>
      </c>
      <c r="U75" s="1" t="s">
        <v>0</v>
      </c>
      <c r="V75" s="1" t="s">
        <v>25</v>
      </c>
      <c r="W75" s="1" t="s">
        <v>10</v>
      </c>
      <c r="X75" s="1" t="s">
        <v>10</v>
      </c>
      <c r="Y75" s="13">
        <v>289200</v>
      </c>
      <c r="Z75" s="13">
        <v>200000</v>
      </c>
      <c r="AA75" s="13"/>
      <c r="AB75" s="76"/>
      <c r="AC75" s="13">
        <v>174341.52</v>
      </c>
      <c r="AD75" s="13">
        <v>25000</v>
      </c>
      <c r="AE75" s="13"/>
      <c r="AF75" s="13">
        <f>Project_List[[#This Row],[Professional Service Agreement (PSA) Amount]]+Project_List[[#This Row],[Engineer''s Est]]+Project_List[[#This Row],[Estimated COA
Engineering / 
Admin]]</f>
        <v>314200</v>
      </c>
      <c r="AG75" s="13">
        <f>Project_List[[#This Row],[Professional Service Agreement (PSA) Amount]]+Project_List[[#This Row],[Final Construction Costs]]+Project_List[[#This Row],[Estimated COA
Engineering / 
Admin]]</f>
        <v>199341.52</v>
      </c>
      <c r="AH75" s="13">
        <f>Project_List[[#This Row],[Overall Budget]]-Project_List[[#This Row],[Total Anticipated Costs (PSA+Est+COA Est)]]-Project_List[[#This Row],[Anticipated Costs Unincombered]]</f>
        <v>-114200</v>
      </c>
      <c r="AI75" s="1" t="s">
        <v>10</v>
      </c>
      <c r="AJ75" s="32"/>
      <c r="AK75" s="36" t="s">
        <v>10</v>
      </c>
      <c r="AL75" s="1">
        <v>0</v>
      </c>
      <c r="AW75" s="41"/>
    </row>
    <row r="76" spans="1:49" ht="30" x14ac:dyDescent="0.25">
      <c r="A76" s="1" t="s">
        <v>255</v>
      </c>
      <c r="B76" s="2">
        <v>520</v>
      </c>
      <c r="C76" s="2" t="str">
        <f>LOOKUP(Project_List[[#This Row],[Fund No.]],'Code Lookup'!A$9:A$53,'Code Lookup'!B$9:B$53)</f>
        <v>Sewer Utility</v>
      </c>
      <c r="D76" s="2" t="s">
        <v>322</v>
      </c>
      <c r="E76" s="2" t="s">
        <v>67</v>
      </c>
      <c r="F76" s="20" t="s">
        <v>133</v>
      </c>
      <c r="G76" s="1" t="s">
        <v>151</v>
      </c>
      <c r="H76" s="1" t="s">
        <v>49</v>
      </c>
      <c r="J76" s="1">
        <v>61495</v>
      </c>
      <c r="K76" s="1" t="s">
        <v>4</v>
      </c>
      <c r="L76" s="13">
        <v>0</v>
      </c>
      <c r="M76" s="13">
        <v>0</v>
      </c>
      <c r="N76" s="1" t="s">
        <v>255</v>
      </c>
      <c r="O76" s="1" t="s">
        <v>255</v>
      </c>
      <c r="P76" s="37">
        <v>45047</v>
      </c>
      <c r="Q76" s="37">
        <v>45291</v>
      </c>
      <c r="R76" s="37" t="s">
        <v>256</v>
      </c>
      <c r="S76" s="37">
        <v>45291</v>
      </c>
      <c r="T76" s="2"/>
      <c r="U76" s="2" t="s">
        <v>4</v>
      </c>
      <c r="V76" s="1" t="s">
        <v>18</v>
      </c>
      <c r="W76" s="1" t="s">
        <v>10</v>
      </c>
      <c r="X76" s="28" t="s">
        <v>10</v>
      </c>
      <c r="Y76" s="13">
        <v>2000</v>
      </c>
      <c r="Z76" s="13">
        <v>6710</v>
      </c>
      <c r="AA76" s="13"/>
      <c r="AB76" s="76"/>
      <c r="AC76" s="73">
        <v>14168</v>
      </c>
      <c r="AD76" s="73"/>
      <c r="AE76" s="73"/>
      <c r="AF76" s="13">
        <f>Project_List[[#This Row],[Professional Service Agreement (PSA) Amount]]+Project_List[[#This Row],[Engineer''s Est]]+Project_List[[#This Row],[Estimated COA
Engineering / 
Admin]]</f>
        <v>2000</v>
      </c>
      <c r="AG76" s="13">
        <f>Project_List[[#This Row],[Professional Service Agreement (PSA) Amount]]+Project_List[[#This Row],[Final Construction Costs]]+Project_List[[#This Row],[Estimated COA
Engineering / 
Admin]]</f>
        <v>14168</v>
      </c>
      <c r="AH76" s="13">
        <f>Project_List[[#This Row],[Overall Budget]]-Project_List[[#This Row],[Total Anticipated Costs (PSA+Est+COA Est)]]-Project_List[[#This Row],[Anticipated Costs Unincombered]]</f>
        <v>-2000</v>
      </c>
      <c r="AI76" s="1" t="s">
        <v>10</v>
      </c>
      <c r="AJ76" s="32"/>
      <c r="AK76" s="36" t="s">
        <v>10</v>
      </c>
      <c r="AL76" s="1">
        <v>1</v>
      </c>
      <c r="AW76" s="41"/>
    </row>
    <row r="77" spans="1:49" ht="30" x14ac:dyDescent="0.25">
      <c r="A77" s="1" t="s">
        <v>255</v>
      </c>
      <c r="B77" s="6">
        <v>520</v>
      </c>
      <c r="C77" s="2" t="str">
        <f>LOOKUP(Project_List[[#This Row],[Fund No.]],'Code Lookup'!A$9:A$53,'Code Lookup'!B$9:B$53)</f>
        <v>Sewer Utility</v>
      </c>
      <c r="D77" s="6" t="s">
        <v>322</v>
      </c>
      <c r="E77" s="6" t="s">
        <v>67</v>
      </c>
      <c r="F77" s="19" t="s">
        <v>133</v>
      </c>
      <c r="G77" s="1" t="s">
        <v>152</v>
      </c>
      <c r="H77" s="1" t="s">
        <v>49</v>
      </c>
      <c r="I77" s="32">
        <v>60000</v>
      </c>
      <c r="J77" s="1">
        <v>62918</v>
      </c>
      <c r="K77" s="1" t="s">
        <v>16</v>
      </c>
      <c r="L77" s="13">
        <v>0</v>
      </c>
      <c r="M77" s="13">
        <v>0</v>
      </c>
      <c r="N77" s="1" t="s">
        <v>256</v>
      </c>
      <c r="O77" s="1" t="s">
        <v>256</v>
      </c>
      <c r="P77" s="37">
        <v>45352</v>
      </c>
      <c r="Q77" s="37">
        <v>45672</v>
      </c>
      <c r="R77" s="37" t="s">
        <v>257</v>
      </c>
      <c r="S77" s="37">
        <v>45688</v>
      </c>
      <c r="T77" s="1" t="s">
        <v>3</v>
      </c>
      <c r="U77" s="1" t="s">
        <v>4</v>
      </c>
      <c r="V77" s="1" t="s">
        <v>12</v>
      </c>
      <c r="W77" s="1" t="s">
        <v>13</v>
      </c>
      <c r="X77" s="1" t="s">
        <v>10</v>
      </c>
      <c r="Y77" s="13">
        <v>60000</v>
      </c>
      <c r="Z77" s="13">
        <v>64000</v>
      </c>
      <c r="AA77" s="13"/>
      <c r="AB77" s="76"/>
      <c r="AC77" s="13">
        <v>52000</v>
      </c>
      <c r="AD77" s="13">
        <v>0</v>
      </c>
      <c r="AE77" s="13"/>
      <c r="AF77" s="13">
        <f>Project_List[[#This Row],[Professional Service Agreement (PSA) Amount]]+Project_List[[#This Row],[Engineer''s Est]]+Project_List[[#This Row],[Estimated COA
Engineering / 
Admin]]</f>
        <v>60000</v>
      </c>
      <c r="AG77" s="13">
        <f>Project_List[[#This Row],[Professional Service Agreement (PSA) Amount]]+Project_List[[#This Row],[Final Construction Costs]]+Project_List[[#This Row],[Estimated COA
Engineering / 
Admin]]</f>
        <v>52000</v>
      </c>
      <c r="AH77" s="13">
        <f>Project_List[[#This Row],[Overall Budget]]-Project_List[[#This Row],[Total Anticipated Costs (PSA+Est+COA Est)]]-Project_List[[#This Row],[Anticipated Costs Unincombered]]</f>
        <v>0</v>
      </c>
      <c r="AI77" s="1" t="s">
        <v>10</v>
      </c>
      <c r="AJ77" s="32">
        <v>0</v>
      </c>
      <c r="AK77" s="32" t="s">
        <v>10</v>
      </c>
      <c r="AL77" s="1">
        <v>1</v>
      </c>
      <c r="AW77" s="41"/>
    </row>
    <row r="78" spans="1:49" ht="30" x14ac:dyDescent="0.25">
      <c r="A78" s="1" t="s">
        <v>255</v>
      </c>
      <c r="B78" s="1">
        <v>520</v>
      </c>
      <c r="C78" s="1" t="str">
        <f>LOOKUP(Project_List[[#This Row],[Fund No.]],'Code Lookup'!A$9:A$53,'Code Lookup'!B$9:B$53)</f>
        <v>Sewer Utility</v>
      </c>
      <c r="D78" s="1" t="s">
        <v>322</v>
      </c>
      <c r="E78" s="1" t="s">
        <v>392</v>
      </c>
      <c r="F78" s="1" t="s">
        <v>22</v>
      </c>
      <c r="G78" s="1" t="s">
        <v>391</v>
      </c>
      <c r="H78" s="32" t="s">
        <v>49</v>
      </c>
      <c r="I78" s="32">
        <v>604725</v>
      </c>
      <c r="J78" s="1">
        <v>60633</v>
      </c>
      <c r="K78" s="8" t="s">
        <v>52</v>
      </c>
      <c r="L78" s="21"/>
      <c r="M78" s="23"/>
      <c r="N78" s="1" t="s">
        <v>255</v>
      </c>
      <c r="O78" s="1" t="s">
        <v>255</v>
      </c>
      <c r="P78" s="37">
        <v>44986</v>
      </c>
      <c r="Q78" s="37">
        <v>45643</v>
      </c>
      <c r="R78" s="37" t="s">
        <v>256</v>
      </c>
      <c r="S78" s="37" t="s">
        <v>256</v>
      </c>
      <c r="T78" s="32" t="s">
        <v>3</v>
      </c>
      <c r="U78" s="32" t="s">
        <v>8</v>
      </c>
      <c r="V78" s="1" t="s">
        <v>347</v>
      </c>
      <c r="W78" s="1" t="s">
        <v>10</v>
      </c>
      <c r="X78" s="28" t="s">
        <v>10</v>
      </c>
      <c r="Y78" s="13">
        <f>761909*0.64</f>
        <v>487621.76</v>
      </c>
      <c r="Z78" s="13">
        <f>941044.5*0.64</f>
        <v>602268.48</v>
      </c>
      <c r="AA78" s="13"/>
      <c r="AB78" s="76"/>
      <c r="AC78" s="14">
        <f>939949.84-AC79</f>
        <v>878802.12</v>
      </c>
      <c r="AD78" s="14"/>
      <c r="AE78" s="14"/>
      <c r="AF78" s="14">
        <f>Project_List[[#This Row],[Professional Service Agreement (PSA) Amount]]+Project_List[[#This Row],[Engineer''s Est]]+Project_List[[#This Row],[Estimated COA
Engineering / 
Admin]]</f>
        <v>487621.76</v>
      </c>
      <c r="AG78" s="14">
        <f>Project_List[[#This Row],[Professional Service Agreement (PSA) Amount]]+Project_List[[#This Row],[Final Construction Costs]]+Project_List[[#This Row],[Estimated COA
Engineering / 
Admin]]</f>
        <v>878802.12</v>
      </c>
      <c r="AH78" s="13">
        <f>Project_List[[#This Row],[Overall Budget]]-Project_List[[#This Row],[Total Anticipated Costs (PSA+Est+COA Est)]]-Project_List[[#This Row],[Anticipated Costs Unincombered]]</f>
        <v>117103.23999999999</v>
      </c>
      <c r="AI78" s="5" t="s">
        <v>10</v>
      </c>
      <c r="AJ78" s="36">
        <v>1094</v>
      </c>
      <c r="AK78" s="36" t="s">
        <v>10</v>
      </c>
      <c r="AL78" s="1">
        <v>1</v>
      </c>
      <c r="AW78" s="41"/>
    </row>
    <row r="79" spans="1:49" ht="30" x14ac:dyDescent="0.25">
      <c r="A79" s="1" t="s">
        <v>255</v>
      </c>
      <c r="B79" s="6">
        <v>560</v>
      </c>
      <c r="C79" s="2" t="str">
        <f>LOOKUP(Project_List[[#This Row],[Fund No.]],'Code Lookup'!A$9:A$53,'Code Lookup'!B$9:B$53)</f>
        <v>Stormwater Utility</v>
      </c>
      <c r="D79" s="6" t="s">
        <v>68</v>
      </c>
      <c r="E79" s="6" t="s">
        <v>203</v>
      </c>
      <c r="F79" s="19" t="s">
        <v>202</v>
      </c>
      <c r="G79" s="1" t="s">
        <v>425</v>
      </c>
      <c r="H79" s="1" t="s">
        <v>49</v>
      </c>
      <c r="I79" s="32">
        <v>400000</v>
      </c>
      <c r="J79" s="1">
        <v>62979</v>
      </c>
      <c r="K79" s="1" t="s">
        <v>16</v>
      </c>
      <c r="L79" s="13">
        <v>22700</v>
      </c>
      <c r="M79" s="13">
        <v>22700</v>
      </c>
      <c r="N79" s="1" t="s">
        <v>256</v>
      </c>
      <c r="O79" s="1" t="s">
        <v>256</v>
      </c>
      <c r="P79" s="37">
        <v>45323</v>
      </c>
      <c r="Q79" s="37">
        <v>45473</v>
      </c>
      <c r="R79" s="37" t="s">
        <v>256</v>
      </c>
      <c r="S79" s="37">
        <v>45473</v>
      </c>
      <c r="T79" s="1" t="s">
        <v>2</v>
      </c>
      <c r="U79" s="1" t="s">
        <v>0</v>
      </c>
      <c r="V79" s="1" t="s">
        <v>454</v>
      </c>
      <c r="W79" s="1" t="s">
        <v>10</v>
      </c>
      <c r="X79" s="1" t="s">
        <v>10</v>
      </c>
      <c r="Y79" s="13">
        <v>102966.5</v>
      </c>
      <c r="Z79" s="13">
        <v>75615.399999999994</v>
      </c>
      <c r="AA79" s="13"/>
      <c r="AB79" s="76"/>
      <c r="AC79" s="13">
        <v>61147.72</v>
      </c>
      <c r="AD79" s="13"/>
      <c r="AE79" s="13"/>
      <c r="AF79" s="13">
        <f>Project_List[[#This Row],[Professional Service Agreement (PSA) Amount]]+Project_List[[#This Row],[Engineer''s Est]]+Project_List[[#This Row],[Estimated COA
Engineering / 
Admin]]</f>
        <v>125666.5</v>
      </c>
      <c r="AG79" s="13">
        <f>Project_List[[#This Row],[Professional Service Agreement (PSA) Amount]]+Project_List[[#This Row],[Final Construction Costs]]+Project_List[[#This Row],[Estimated COA
Engineering / 
Admin]]</f>
        <v>83847.72</v>
      </c>
      <c r="AH79" s="13">
        <f>Project_List[[#This Row],[Overall Budget]]-Project_List[[#This Row],[Total Anticipated Costs (PSA+Est+COA Est)]]-Project_List[[#This Row],[Anticipated Costs Unincombered]]</f>
        <v>274333.5</v>
      </c>
      <c r="AI79" s="1" t="s">
        <v>10</v>
      </c>
      <c r="AJ79" s="32">
        <v>0</v>
      </c>
      <c r="AK79" s="36" t="s">
        <v>10</v>
      </c>
      <c r="AL79" s="1">
        <v>1</v>
      </c>
      <c r="AW79" s="41"/>
    </row>
    <row r="80" spans="1:49" ht="30" x14ac:dyDescent="0.25">
      <c r="A80" s="1" t="s">
        <v>255</v>
      </c>
      <c r="B80" s="6">
        <v>560</v>
      </c>
      <c r="C80" s="2" t="str">
        <f>LOOKUP(Project_List[[#This Row],[Fund No.]],'Code Lookup'!A$9:A$53,'Code Lookup'!B$9:B$53)</f>
        <v>Stormwater Utility</v>
      </c>
      <c r="D80" s="6" t="s">
        <v>68</v>
      </c>
      <c r="E80" s="6" t="s">
        <v>203</v>
      </c>
      <c r="F80" s="19" t="s">
        <v>202</v>
      </c>
      <c r="G80" s="1" t="s">
        <v>219</v>
      </c>
      <c r="H80" s="1" t="s">
        <v>36</v>
      </c>
      <c r="I80" s="32">
        <v>249100</v>
      </c>
      <c r="K80" s="1" t="s">
        <v>16</v>
      </c>
      <c r="L80" s="13">
        <f>23400+39700</f>
        <v>63100</v>
      </c>
      <c r="M80" s="13"/>
      <c r="N80" s="1" t="s">
        <v>255</v>
      </c>
      <c r="O80" s="1" t="s">
        <v>257</v>
      </c>
      <c r="P80" s="37"/>
      <c r="Q80" s="37"/>
      <c r="R80" s="37" t="s">
        <v>273</v>
      </c>
      <c r="S80" s="37"/>
      <c r="T80" s="1"/>
      <c r="U80" s="1" t="s">
        <v>0</v>
      </c>
      <c r="X80" s="28" t="s">
        <v>10</v>
      </c>
      <c r="Y80" s="13"/>
      <c r="Z80" s="13"/>
      <c r="AA80" s="13"/>
      <c r="AB80" s="76"/>
      <c r="AC80" s="13"/>
      <c r="AD80" s="13"/>
      <c r="AE80" s="13"/>
      <c r="AF80" s="13">
        <f>Project_List[[#This Row],[Professional Service Agreement (PSA) Amount]]+Project_List[[#This Row],[Engineer''s Est]]+Project_List[[#This Row],[Estimated COA
Engineering / 
Admin]]</f>
        <v>63100</v>
      </c>
      <c r="AG80" s="13">
        <f>Project_List[[#This Row],[Professional Service Agreement (PSA) Amount]]+Project_List[[#This Row],[Final Construction Costs]]+Project_List[[#This Row],[Estimated COA
Engineering / 
Admin]]</f>
        <v>63100</v>
      </c>
      <c r="AH80" s="13">
        <f>Project_List[[#This Row],[Overall Budget]]-Project_List[[#This Row],[Total Anticipated Costs (PSA+Est+COA Est)]]-Project_List[[#This Row],[Anticipated Costs Unincombered]]</f>
        <v>186000</v>
      </c>
      <c r="AI80" s="89"/>
      <c r="AJ80" s="32">
        <v>192540</v>
      </c>
      <c r="AK80" s="36" t="s">
        <v>10</v>
      </c>
      <c r="AL80" s="1">
        <v>1</v>
      </c>
      <c r="AW80" s="41"/>
    </row>
    <row r="81" spans="1:49" ht="30" x14ac:dyDescent="0.25">
      <c r="A81" s="1" t="s">
        <v>255</v>
      </c>
      <c r="B81" s="2">
        <v>520</v>
      </c>
      <c r="C81" s="27" t="str">
        <f>LOOKUP(Project_List[[#This Row],[Fund No.]],'Code Lookup'!A$9:A$53,'Code Lookup'!B$9:B$53)</f>
        <v>Sewer Utility</v>
      </c>
      <c r="D81" s="2" t="s">
        <v>322</v>
      </c>
      <c r="E81" s="27" t="s">
        <v>200</v>
      </c>
      <c r="F81" s="20" t="s">
        <v>66</v>
      </c>
      <c r="G81" s="1" t="s">
        <v>151</v>
      </c>
      <c r="H81" s="1" t="s">
        <v>49</v>
      </c>
      <c r="J81" s="28">
        <v>61495</v>
      </c>
      <c r="K81" s="1" t="s">
        <v>4</v>
      </c>
      <c r="L81" s="13">
        <v>0</v>
      </c>
      <c r="M81" s="13">
        <v>0</v>
      </c>
      <c r="N81" s="1" t="s">
        <v>255</v>
      </c>
      <c r="O81" s="1" t="s">
        <v>255</v>
      </c>
      <c r="P81" s="37">
        <v>45047</v>
      </c>
      <c r="Q81" s="37">
        <v>45291</v>
      </c>
      <c r="R81" s="37" t="s">
        <v>256</v>
      </c>
      <c r="S81" s="37">
        <v>45291</v>
      </c>
      <c r="T81" s="2"/>
      <c r="U81" s="2" t="s">
        <v>4</v>
      </c>
      <c r="V81" s="1" t="s">
        <v>18</v>
      </c>
      <c r="W81" s="1" t="s">
        <v>10</v>
      </c>
      <c r="X81" s="1" t="s">
        <v>10</v>
      </c>
      <c r="Y81" s="13">
        <v>6000</v>
      </c>
      <c r="Z81" s="13">
        <v>3410</v>
      </c>
      <c r="AA81" s="13"/>
      <c r="AB81" s="76"/>
      <c r="AC81" s="94">
        <v>18062</v>
      </c>
      <c r="AD81" s="94"/>
      <c r="AE81" s="94"/>
      <c r="AF81" s="13">
        <f>Project_List[[#This Row],[Professional Service Agreement (PSA) Amount]]+Project_List[[#This Row],[Engineer''s Est]]+Project_List[[#This Row],[Estimated COA
Engineering / 
Admin]]</f>
        <v>6000</v>
      </c>
      <c r="AG81" s="13">
        <f>Project_List[[#This Row],[Professional Service Agreement (PSA) Amount]]+Project_List[[#This Row],[Final Construction Costs]]+Project_List[[#This Row],[Estimated COA
Engineering / 
Admin]]</f>
        <v>18062</v>
      </c>
      <c r="AH81" s="13">
        <f>Project_List[[#This Row],[Overall Budget]]-Project_List[[#This Row],[Total Anticipated Costs (PSA+Est+COA Est)]]-Project_List[[#This Row],[Anticipated Costs Unincombered]]</f>
        <v>-6000</v>
      </c>
      <c r="AI81" s="5" t="s">
        <v>10</v>
      </c>
      <c r="AJ81" s="40"/>
      <c r="AK81" s="36" t="s">
        <v>10</v>
      </c>
      <c r="AL81" s="1">
        <v>0</v>
      </c>
      <c r="AW81" s="41"/>
    </row>
    <row r="82" spans="1:49" ht="30" x14ac:dyDescent="0.25">
      <c r="A82" s="1" t="s">
        <v>255</v>
      </c>
      <c r="B82" s="1">
        <v>560</v>
      </c>
      <c r="C82" s="27" t="str">
        <f>LOOKUP(Project_List[[#This Row],[Fund No.]],'Code Lookup'!A$9:A$53,'Code Lookup'!B$9:B$53)</f>
        <v>Stormwater Utility</v>
      </c>
      <c r="D82" s="1" t="s">
        <v>68</v>
      </c>
      <c r="E82" s="28" t="s">
        <v>168</v>
      </c>
      <c r="F82" s="18" t="s">
        <v>324</v>
      </c>
      <c r="G82" s="1" t="s">
        <v>204</v>
      </c>
      <c r="H82" s="1" t="s">
        <v>49</v>
      </c>
      <c r="J82" s="28">
        <v>62021</v>
      </c>
      <c r="K82" s="2" t="s">
        <v>16</v>
      </c>
      <c r="L82" s="12">
        <v>0</v>
      </c>
      <c r="M82" s="13">
        <v>0</v>
      </c>
      <c r="N82" s="1" t="s">
        <v>255</v>
      </c>
      <c r="O82" s="1" t="s">
        <v>256</v>
      </c>
      <c r="P82" s="37">
        <v>45479</v>
      </c>
      <c r="Q82" s="37">
        <v>45505</v>
      </c>
      <c r="R82" s="37" t="s">
        <v>257</v>
      </c>
      <c r="S82" s="37">
        <v>45474</v>
      </c>
      <c r="T82" s="1" t="s">
        <v>3</v>
      </c>
      <c r="U82" s="1" t="s">
        <v>4</v>
      </c>
      <c r="V82" s="1" t="s">
        <v>12</v>
      </c>
      <c r="W82" s="1" t="s">
        <v>10</v>
      </c>
      <c r="X82" s="28" t="s">
        <v>10</v>
      </c>
      <c r="Y82" s="13">
        <v>224655</v>
      </c>
      <c r="Z82" s="13">
        <v>195594</v>
      </c>
      <c r="AA82" s="13"/>
      <c r="AB82" s="76"/>
      <c r="AC82" s="13">
        <v>193977.5</v>
      </c>
      <c r="AD82" s="13"/>
      <c r="AE82" s="13"/>
      <c r="AF82" s="13">
        <f>Project_List[[#This Row],[Professional Service Agreement (PSA) Amount]]+Project_List[[#This Row],[Engineer''s Est]]+Project_List[[#This Row],[Estimated COA
Engineering / 
Admin]]</f>
        <v>224655</v>
      </c>
      <c r="AG82" s="13">
        <f>Project_List[[#This Row],[Professional Service Agreement (PSA) Amount]]+Project_List[[#This Row],[Final Construction Costs]]+Project_List[[#This Row],[Estimated COA
Engineering / 
Admin]]</f>
        <v>193977.5</v>
      </c>
      <c r="AH82" s="13">
        <f>Project_List[[#This Row],[Overall Budget]]-Project_List[[#This Row],[Total Anticipated Costs (PSA+Est+COA Est)]]-Project_List[[#This Row],[Anticipated Costs Unincombered]]</f>
        <v>-224655</v>
      </c>
      <c r="AI82" s="1" t="s">
        <v>10</v>
      </c>
      <c r="AJ82" s="40">
        <v>0</v>
      </c>
      <c r="AK82" s="36" t="s">
        <v>10</v>
      </c>
      <c r="AL82" s="1">
        <v>0</v>
      </c>
      <c r="AW82" s="41"/>
    </row>
    <row r="83" spans="1:49" ht="45" x14ac:dyDescent="0.25">
      <c r="A83" s="1" t="s">
        <v>255</v>
      </c>
      <c r="B83" s="1">
        <v>522</v>
      </c>
      <c r="C83" s="28" t="str">
        <f>LOOKUP(Project_List[[#This Row],[Fund No.]],'Code Lookup'!A$9:A$53,'Code Lookup'!B$9:B$53)</f>
        <v>Sewer Improvements (SRF)</v>
      </c>
      <c r="D83" s="1" t="s">
        <v>322</v>
      </c>
      <c r="E83" s="28" t="s">
        <v>227</v>
      </c>
      <c r="F83" s="18" t="s">
        <v>133</v>
      </c>
      <c r="G83" s="1" t="s">
        <v>222</v>
      </c>
      <c r="H83" s="32" t="s">
        <v>36</v>
      </c>
      <c r="I83" s="32">
        <v>2100000</v>
      </c>
      <c r="J83" s="28"/>
      <c r="K83" s="8" t="s">
        <v>16</v>
      </c>
      <c r="L83" s="12">
        <v>52000</v>
      </c>
      <c r="M83" s="23"/>
      <c r="N83" s="1" t="s">
        <v>255</v>
      </c>
      <c r="O83" s="1" t="s">
        <v>257</v>
      </c>
      <c r="P83" s="37"/>
      <c r="Q83" s="37"/>
      <c r="R83" s="37" t="s">
        <v>273</v>
      </c>
      <c r="S83" s="37"/>
      <c r="T83" s="32" t="s">
        <v>16</v>
      </c>
      <c r="U83" s="32" t="s">
        <v>0</v>
      </c>
      <c r="X83" s="1" t="s">
        <v>10</v>
      </c>
      <c r="Y83" s="13"/>
      <c r="Z83" s="13"/>
      <c r="AA83" s="13"/>
      <c r="AB83" s="76"/>
      <c r="AC83" s="13"/>
      <c r="AD83" s="13"/>
      <c r="AE83" s="13"/>
      <c r="AF83" s="13">
        <f>Project_List[[#This Row],[Professional Service Agreement (PSA) Amount]]+Project_List[[#This Row],[Engineer''s Est]]+Project_List[[#This Row],[Estimated COA
Engineering / 
Admin]]</f>
        <v>52000</v>
      </c>
      <c r="AG83" s="13">
        <f>Project_List[[#This Row],[Professional Service Agreement (PSA) Amount]]+Project_List[[#This Row],[Final Construction Costs]]+Project_List[[#This Row],[Estimated COA
Engineering / 
Admin]]</f>
        <v>52000</v>
      </c>
      <c r="AH83" s="13">
        <f>Project_List[[#This Row],[Overall Budget]]-Project_List[[#This Row],[Total Anticipated Costs (PSA+Est+COA Est)]]-Project_List[[#This Row],[Anticipated Costs Unincombered]]</f>
        <v>2048000</v>
      </c>
      <c r="AI83" s="90" t="s">
        <v>10</v>
      </c>
      <c r="AJ83" s="40">
        <v>560184</v>
      </c>
      <c r="AK83" s="36" t="s">
        <v>10</v>
      </c>
      <c r="AL83" s="1">
        <v>1</v>
      </c>
      <c r="AW83" s="41"/>
    </row>
    <row r="84" spans="1:49" ht="135" x14ac:dyDescent="0.25">
      <c r="A84" s="1" t="s">
        <v>255</v>
      </c>
      <c r="B84" s="1">
        <v>560</v>
      </c>
      <c r="C84" s="28" t="str">
        <f>LOOKUP(Project_List[[#This Row],[Fund No.]],'Code Lookup'!A$9:A$53,'Code Lookup'!B$9:B$53)</f>
        <v>Stormwater Utility</v>
      </c>
      <c r="D84" s="1" t="s">
        <v>68</v>
      </c>
      <c r="E84" s="28" t="s">
        <v>305</v>
      </c>
      <c r="F84" s="1" t="s">
        <v>198</v>
      </c>
      <c r="G84" s="1" t="s">
        <v>368</v>
      </c>
      <c r="H84" s="32" t="s">
        <v>48</v>
      </c>
      <c r="I84" s="32">
        <v>632146</v>
      </c>
      <c r="J84" s="28">
        <v>64556</v>
      </c>
      <c r="K84" s="8" t="s">
        <v>23</v>
      </c>
      <c r="L84" s="21">
        <v>0</v>
      </c>
      <c r="M84" s="23">
        <v>0</v>
      </c>
      <c r="N84" s="1" t="s">
        <v>273</v>
      </c>
      <c r="O84" s="1" t="s">
        <v>257</v>
      </c>
      <c r="P84" s="37">
        <v>45870</v>
      </c>
      <c r="Q84" s="37"/>
      <c r="R84" s="37" t="s">
        <v>273</v>
      </c>
      <c r="S84" s="37">
        <v>46203</v>
      </c>
      <c r="U84" s="32" t="s">
        <v>369</v>
      </c>
      <c r="V84" s="1" t="s">
        <v>296</v>
      </c>
      <c r="W84" s="1" t="s">
        <v>10</v>
      </c>
      <c r="X84" s="28" t="s">
        <v>10</v>
      </c>
      <c r="Y84" s="13">
        <v>518000</v>
      </c>
      <c r="Z84" s="13">
        <v>523245.2</v>
      </c>
      <c r="AA84" s="13">
        <f>6000+2000+17631.9+17650.25</f>
        <v>43282.15</v>
      </c>
      <c r="AB84" s="76"/>
      <c r="AC84" s="14"/>
      <c r="AD84" s="14">
        <v>20000</v>
      </c>
      <c r="AE84" s="14"/>
      <c r="AF84" s="14">
        <f>Project_List[[#This Row],[Professional Service Agreement (PSA) Amount]]+Project_List[[#This Row],[Bid Amount]]+Project_List[[#This Row],[Construction Change Orders]]+Project_List[[#This Row],[Estimated COA
Engineering / 
Admin]]</f>
        <v>586527.35</v>
      </c>
      <c r="AG84" s="13">
        <f>Project_List[[#This Row],[Professional Service Agreement (PSA) Amount]]+Project_List[[#This Row],[Final Construction Costs]]+Project_List[[#This Row],[Estimated COA
Engineering / 
Admin]]</f>
        <v>20000</v>
      </c>
      <c r="AH84" s="13">
        <f>Project_List[[#This Row],[Overall Budget]]-Project_List[[#This Row],[Total Anticipated Costs (PSA+Est+COA Est)]]-Project_List[[#This Row],[Anticipated Costs Unincombered]]</f>
        <v>45618.650000000023</v>
      </c>
      <c r="AI84" s="2" t="s">
        <v>10</v>
      </c>
      <c r="AJ84" s="42">
        <f>47835-17650.25</f>
        <v>30184.75</v>
      </c>
      <c r="AK84" s="36" t="s">
        <v>10</v>
      </c>
      <c r="AL84" s="1">
        <v>1</v>
      </c>
      <c r="AW84" s="41"/>
    </row>
    <row r="85" spans="1:49" ht="45" x14ac:dyDescent="0.25">
      <c r="A85" s="1" t="s">
        <v>255</v>
      </c>
      <c r="B85" s="1">
        <v>522</v>
      </c>
      <c r="C85" s="27" t="str">
        <f>LOOKUP(Project_List[[#This Row],[Fund No.]],'Code Lookup'!A$9:A$53,'Code Lookup'!B$9:B$53)</f>
        <v>Sewer Improvements (SRF)</v>
      </c>
      <c r="D85" s="1" t="s">
        <v>322</v>
      </c>
      <c r="E85" s="28" t="s">
        <v>132</v>
      </c>
      <c r="F85" s="18" t="s">
        <v>133</v>
      </c>
      <c r="G85" s="1" t="s">
        <v>220</v>
      </c>
      <c r="H85" s="32" t="s">
        <v>49</v>
      </c>
      <c r="I85" s="32">
        <v>725918</v>
      </c>
      <c r="J85" s="28">
        <v>62157</v>
      </c>
      <c r="K85" s="8" t="s">
        <v>16</v>
      </c>
      <c r="L85" s="12">
        <v>79500</v>
      </c>
      <c r="M85" s="12"/>
      <c r="N85" s="1" t="s">
        <v>255</v>
      </c>
      <c r="O85" s="1" t="s">
        <v>255</v>
      </c>
      <c r="P85" s="37">
        <v>45153</v>
      </c>
      <c r="Q85" s="37">
        <v>45353</v>
      </c>
      <c r="R85" s="37" t="s">
        <v>256</v>
      </c>
      <c r="S85" s="37">
        <v>45413</v>
      </c>
      <c r="T85" s="1" t="s">
        <v>16</v>
      </c>
      <c r="U85" s="32" t="s">
        <v>0</v>
      </c>
      <c r="V85" s="32" t="s">
        <v>54</v>
      </c>
      <c r="W85" s="1" t="s">
        <v>10</v>
      </c>
      <c r="X85" s="1" t="s">
        <v>10</v>
      </c>
      <c r="Y85" s="13">
        <v>1500000</v>
      </c>
      <c r="Z85" s="13">
        <v>1353819</v>
      </c>
      <c r="AA85" s="13"/>
      <c r="AB85" s="76"/>
      <c r="AC85" s="13">
        <v>1249017.99</v>
      </c>
      <c r="AD85" s="13"/>
      <c r="AE85" s="13"/>
      <c r="AF85" s="13">
        <f>Project_List[[#This Row],[Professional Service Agreement (PSA) Amount]]+Project_List[[#This Row],[Engineer''s Est]]+Project_List[[#This Row],[Estimated COA
Engineering / 
Admin]]</f>
        <v>1579500</v>
      </c>
      <c r="AG85" s="13">
        <f>Project_List[[#This Row],[Professional Service Agreement (PSA) Amount]]+Project_List[[#This Row],[Final Construction Costs]]+Project_List[[#This Row],[Estimated COA
Engineering / 
Admin]]</f>
        <v>1328517.99</v>
      </c>
      <c r="AH85" s="13">
        <f>Project_List[[#This Row],[Overall Budget]]-Project_List[[#This Row],[Total Anticipated Costs (PSA+Est+COA Est)]]-Project_List[[#This Row],[Anticipated Costs Unincombered]]</f>
        <v>-853582</v>
      </c>
      <c r="AI85" s="2" t="s">
        <v>10</v>
      </c>
      <c r="AJ85" s="31">
        <v>703132</v>
      </c>
      <c r="AK85" s="36" t="s">
        <v>10</v>
      </c>
      <c r="AL85" s="1">
        <v>1</v>
      </c>
      <c r="AW85" s="41"/>
    </row>
    <row r="86" spans="1:49" ht="45" x14ac:dyDescent="0.25">
      <c r="A86" s="1" t="s">
        <v>255</v>
      </c>
      <c r="B86" s="1">
        <v>522</v>
      </c>
      <c r="C86" s="28" t="str">
        <f>LOOKUP(Project_List[[#This Row],[Fund No.]],'Code Lookup'!A$9:A$53,'Code Lookup'!B$9:B$53)</f>
        <v>Sewer Improvements (SRF)</v>
      </c>
      <c r="D86" s="1" t="s">
        <v>322</v>
      </c>
      <c r="E86" s="28" t="s">
        <v>132</v>
      </c>
      <c r="F86" s="1" t="s">
        <v>133</v>
      </c>
      <c r="G86" s="1" t="s">
        <v>478</v>
      </c>
      <c r="H86" s="32" t="s">
        <v>36</v>
      </c>
      <c r="I86" s="32">
        <v>725918</v>
      </c>
      <c r="J86" s="28"/>
      <c r="K86" s="8" t="s">
        <v>16</v>
      </c>
      <c r="L86" s="21">
        <v>22786</v>
      </c>
      <c r="M86" s="23"/>
      <c r="N86" s="1" t="s">
        <v>273</v>
      </c>
      <c r="O86" s="1" t="s">
        <v>273</v>
      </c>
      <c r="P86" s="37"/>
      <c r="Q86" s="37"/>
      <c r="R86" s="37" t="s">
        <v>273</v>
      </c>
      <c r="S86" s="37"/>
      <c r="U86" s="32" t="s">
        <v>0</v>
      </c>
      <c r="X86" s="28"/>
      <c r="Y86" s="13"/>
      <c r="Z86" s="13"/>
      <c r="AA86" s="13"/>
      <c r="AB86" s="76"/>
      <c r="AC86" s="14"/>
      <c r="AD86" s="14"/>
      <c r="AE86" s="14"/>
      <c r="AF86" s="14">
        <f>Project_List[[#This Row],[Professional Service Agreement (PSA) Amount]]+Project_List[[#This Row],[Engineer''s Est]]+Project_List[[#This Row],[Estimated COA
Engineering / 
Admin]]</f>
        <v>22786</v>
      </c>
      <c r="AG86" s="14">
        <f>Project_List[[#This Row],[Professional Service Agreement (PSA) Amount]]+Project_List[[#This Row],[Final Construction Costs]]+Project_List[[#This Row],[Estimated COA
Engineering / 
Admin]]</f>
        <v>22786</v>
      </c>
      <c r="AH86" s="14">
        <f>Project_List[[#This Row],[Overall Budget]]-Project_List[[#This Row],[Total Anticipated Costs (PSA+Est+COA Est)]]-Project_List[[#This Row],[Anticipated Costs Unincombered]]</f>
        <v>703132</v>
      </c>
      <c r="AJ86" s="42">
        <v>703132</v>
      </c>
      <c r="AK86" s="36"/>
      <c r="AL86" s="1">
        <f>COUNTA(_xlfn.UNIQUE(Project_List[[#This Row],[Project Name]]))</f>
        <v>1</v>
      </c>
      <c r="AW86" s="41"/>
    </row>
    <row r="87" spans="1:49" ht="45" x14ac:dyDescent="0.25">
      <c r="A87" s="1" t="s">
        <v>255</v>
      </c>
      <c r="B87" s="1">
        <v>522</v>
      </c>
      <c r="C87" s="28" t="str">
        <f>LOOKUP(Project_List[[#This Row],[Fund No.]],'Code Lookup'!A$9:A$53,'Code Lookup'!B$9:B$53)</f>
        <v>Sewer Improvements (SRF)</v>
      </c>
      <c r="D87" s="1" t="s">
        <v>322</v>
      </c>
      <c r="E87" s="28" t="s">
        <v>226</v>
      </c>
      <c r="F87" s="18" t="s">
        <v>133</v>
      </c>
      <c r="G87" s="1" t="s">
        <v>221</v>
      </c>
      <c r="H87" s="32" t="s">
        <v>36</v>
      </c>
      <c r="I87" s="32">
        <v>2336322</v>
      </c>
      <c r="J87" s="28"/>
      <c r="K87" s="8" t="s">
        <v>16</v>
      </c>
      <c r="L87" s="12">
        <v>0</v>
      </c>
      <c r="M87" s="13">
        <v>0</v>
      </c>
      <c r="N87" s="1" t="s">
        <v>255</v>
      </c>
      <c r="O87" s="1" t="s">
        <v>257</v>
      </c>
      <c r="P87" s="37"/>
      <c r="Q87" s="37"/>
      <c r="R87" s="37" t="s">
        <v>273</v>
      </c>
      <c r="S87" s="37"/>
      <c r="T87" s="32" t="s">
        <v>16</v>
      </c>
      <c r="U87" s="32" t="s">
        <v>0</v>
      </c>
      <c r="X87" s="1" t="s">
        <v>10</v>
      </c>
      <c r="Y87" s="13"/>
      <c r="Z87" s="13"/>
      <c r="AA87" s="13"/>
      <c r="AB87" s="76"/>
      <c r="AC87" s="13"/>
      <c r="AD87" s="13"/>
      <c r="AE87" s="13"/>
      <c r="AF87" s="13">
        <f>Project_List[[#This Row],[Professional Service Agreement (PSA) Amount]]+Project_List[[#This Row],[Engineer''s Est]]+Project_List[[#This Row],[Estimated COA
Engineering / 
Admin]]</f>
        <v>0</v>
      </c>
      <c r="AG87" s="13">
        <f>Project_List[[#This Row],[Professional Service Agreement (PSA) Amount]]+Project_List[[#This Row],[Final Construction Costs]]+Project_List[[#This Row],[Estimated COA
Engineering / 
Admin]]</f>
        <v>0</v>
      </c>
      <c r="AH87" s="13">
        <f>Project_List[[#This Row],[Overall Budget]]-Project_List[[#This Row],[Total Anticipated Costs (PSA+Est+COA Est)]]-Project_List[[#This Row],[Anticipated Costs Unincombered]]</f>
        <v>2336322</v>
      </c>
      <c r="AI87" s="2" t="s">
        <v>10</v>
      </c>
      <c r="AJ87" s="40">
        <v>2336322</v>
      </c>
      <c r="AK87" s="36" t="s">
        <v>10</v>
      </c>
      <c r="AL87" s="1">
        <v>1</v>
      </c>
      <c r="AW87" s="41"/>
    </row>
    <row r="88" spans="1:49" ht="30" x14ac:dyDescent="0.25">
      <c r="A88" s="1" t="s">
        <v>256</v>
      </c>
      <c r="B88" s="1">
        <v>122</v>
      </c>
      <c r="C88" s="28" t="str">
        <f>LOOKUP(Project_List[[#This Row],[Fund No.]],'Code Lookup'!A$9:A$53,'Code Lookup'!B$9:B$53)</f>
        <v>American Rescue Plan</v>
      </c>
      <c r="D88" s="1" t="s">
        <v>322</v>
      </c>
      <c r="E88" s="28" t="s">
        <v>125</v>
      </c>
      <c r="F88" s="1" t="s">
        <v>22</v>
      </c>
      <c r="G88" s="1" t="s">
        <v>346</v>
      </c>
      <c r="H88" s="32" t="s">
        <v>169</v>
      </c>
      <c r="I88" s="32">
        <v>654121</v>
      </c>
      <c r="J88" s="28">
        <v>63957</v>
      </c>
      <c r="K88" s="8" t="s">
        <v>0</v>
      </c>
      <c r="L88" s="21">
        <v>0</v>
      </c>
      <c r="M88" s="23">
        <v>0</v>
      </c>
      <c r="N88" s="1" t="s">
        <v>257</v>
      </c>
      <c r="O88" s="1" t="s">
        <v>257</v>
      </c>
      <c r="P88" s="37">
        <v>45627</v>
      </c>
      <c r="Q88" s="37">
        <v>45991</v>
      </c>
      <c r="R88" s="37" t="s">
        <v>257</v>
      </c>
      <c r="S88" s="37">
        <v>46022</v>
      </c>
      <c r="T88" s="32" t="s">
        <v>16</v>
      </c>
      <c r="U88" s="32" t="s">
        <v>0</v>
      </c>
      <c r="V88" s="1" t="s">
        <v>347</v>
      </c>
      <c r="W88" s="1" t="s">
        <v>10</v>
      </c>
      <c r="X88" s="28" t="s">
        <v>10</v>
      </c>
      <c r="Y88" s="13">
        <v>702275</v>
      </c>
      <c r="Z88" s="13">
        <v>551057.69999999995</v>
      </c>
      <c r="AA88" s="13">
        <f>7200-15498.5</f>
        <v>-8298.5</v>
      </c>
      <c r="AB88" s="76"/>
      <c r="AC88" s="14">
        <v>542759.19999999995</v>
      </c>
      <c r="AD88" s="14">
        <v>135000</v>
      </c>
      <c r="AE88" s="14"/>
      <c r="AF88" s="14">
        <f>Project_List[[#This Row],[Professional Service Agreement (PSA) Amount]]+Project_List[[#This Row],[Engineer''s Est]]+Project_List[[#This Row],[Estimated COA
Engineering / 
Admin]]</f>
        <v>837275</v>
      </c>
      <c r="AG88" s="14">
        <f>Project_List[[#This Row],[Professional Service Agreement (PSA) Amount]]+Project_List[[#This Row],[Final Construction Costs]]+Project_List[[#This Row],[Estimated COA
Engineering / 
Admin]]</f>
        <v>677759.2</v>
      </c>
      <c r="AH88" s="13">
        <f>Project_List[[#This Row],[Overall Budget]]-Project_List[[#This Row],[Total Anticipated Costs (PSA+Est+COA Est)]]-Project_List[[#This Row],[Anticipated Costs Unincombered]]</f>
        <v>-183154</v>
      </c>
      <c r="AI88" s="1" t="s">
        <v>10</v>
      </c>
      <c r="AJ88" s="42">
        <v>69604</v>
      </c>
      <c r="AK88" s="36" t="s">
        <v>10</v>
      </c>
      <c r="AL88" s="1">
        <v>1</v>
      </c>
      <c r="AW88" s="41"/>
    </row>
    <row r="89" spans="1:49" ht="30" x14ac:dyDescent="0.25">
      <c r="A89" s="1" t="s">
        <v>256</v>
      </c>
      <c r="B89" s="1">
        <v>520</v>
      </c>
      <c r="C89" s="28" t="str">
        <f>LOOKUP(Project_List[[#This Row],[Fund No.]],'Code Lookup'!A$9:A$53,'Code Lookup'!B$9:B$53)</f>
        <v>Sewer Utility</v>
      </c>
      <c r="D89" s="1" t="s">
        <v>322</v>
      </c>
      <c r="E89" s="28" t="s">
        <v>504</v>
      </c>
      <c r="F89" s="1" t="s">
        <v>133</v>
      </c>
      <c r="G89" s="1" t="s">
        <v>154</v>
      </c>
      <c r="H89" s="32" t="s">
        <v>48</v>
      </c>
      <c r="I89" s="32">
        <v>35000</v>
      </c>
      <c r="J89" s="28">
        <v>63041</v>
      </c>
      <c r="K89" s="8" t="s">
        <v>0</v>
      </c>
      <c r="L89" s="21">
        <v>0</v>
      </c>
      <c r="M89" s="23">
        <v>0</v>
      </c>
      <c r="N89" s="1" t="s">
        <v>256</v>
      </c>
      <c r="O89" s="1" t="s">
        <v>256</v>
      </c>
      <c r="P89" s="37">
        <v>45870</v>
      </c>
      <c r="Q89" s="37"/>
      <c r="R89" s="37" t="s">
        <v>273</v>
      </c>
      <c r="S89" s="37">
        <v>46174</v>
      </c>
      <c r="T89" s="32" t="s">
        <v>14</v>
      </c>
      <c r="U89" s="32" t="s">
        <v>0</v>
      </c>
      <c r="V89" s="1" t="s">
        <v>12</v>
      </c>
      <c r="W89" s="1" t="s">
        <v>10</v>
      </c>
      <c r="X89" s="1" t="s">
        <v>10</v>
      </c>
      <c r="Y89" s="13">
        <v>35500</v>
      </c>
      <c r="Z89" s="13">
        <v>35000</v>
      </c>
      <c r="AA89" s="13"/>
      <c r="AB89" s="76"/>
      <c r="AC89" s="14"/>
      <c r="AD89" s="14"/>
      <c r="AE89" s="14"/>
      <c r="AF89" s="14">
        <f>Project_List[[#This Row],[Professional Service Agreement (PSA) Amount]]+Project_List[[#This Row],[Engineer''s Est]]+Project_List[[#This Row],[Estimated COA
Engineering / 
Admin]]</f>
        <v>35500</v>
      </c>
      <c r="AG89" s="14">
        <f>Project_List[[#This Row],[Professional Service Agreement (PSA) Amount]]+Project_List[[#This Row],[Final Construction Costs]]+Project_List[[#This Row],[Estimated COA
Engineering / 
Admin]]</f>
        <v>0</v>
      </c>
      <c r="AH89" s="14">
        <f>Project_List[[#This Row],[Overall Budget]]-Project_List[[#This Row],[Total Anticipated Costs (PSA+Est+COA Est)]]-Project_List[[#This Row],[Anticipated Costs Unincombered]]</f>
        <v>-500</v>
      </c>
      <c r="AI89" s="1" t="s">
        <v>10</v>
      </c>
      <c r="AJ89" s="42"/>
      <c r="AK89" s="36"/>
      <c r="AL89" s="1">
        <v>0</v>
      </c>
      <c r="AW89" s="41"/>
    </row>
    <row r="90" spans="1:49" ht="30" x14ac:dyDescent="0.25">
      <c r="A90" s="1" t="s">
        <v>256</v>
      </c>
      <c r="B90" s="1">
        <v>520</v>
      </c>
      <c r="C90" s="27" t="str">
        <f>LOOKUP(Project_List[[#This Row],[Fund No.]],'Code Lookup'!A$9:A$53,'Code Lookup'!B$9:B$53)</f>
        <v>Sewer Utility</v>
      </c>
      <c r="D90" s="1" t="s">
        <v>322</v>
      </c>
      <c r="E90" s="28" t="s">
        <v>235</v>
      </c>
      <c r="F90" s="18" t="s">
        <v>323</v>
      </c>
      <c r="G90" s="1" t="s">
        <v>236</v>
      </c>
      <c r="H90" s="1" t="s">
        <v>169</v>
      </c>
      <c r="I90" s="32">
        <v>200000</v>
      </c>
      <c r="J90" s="28">
        <v>63042</v>
      </c>
      <c r="K90" s="1" t="s">
        <v>53</v>
      </c>
      <c r="L90" s="13">
        <v>0</v>
      </c>
      <c r="M90" s="13">
        <v>0</v>
      </c>
      <c r="N90" s="1" t="s">
        <v>256</v>
      </c>
      <c r="O90" s="1" t="s">
        <v>256</v>
      </c>
      <c r="P90" s="37">
        <v>45444</v>
      </c>
      <c r="Q90" s="37"/>
      <c r="R90" s="37" t="s">
        <v>273</v>
      </c>
      <c r="S90" s="37">
        <v>46022</v>
      </c>
      <c r="T90" s="1" t="s">
        <v>3</v>
      </c>
      <c r="U90" s="1" t="s">
        <v>0</v>
      </c>
      <c r="V90" s="1" t="s">
        <v>12</v>
      </c>
      <c r="W90" s="1" t="s">
        <v>10</v>
      </c>
      <c r="X90" s="28" t="s">
        <v>10</v>
      </c>
      <c r="Y90" s="13">
        <v>231475</v>
      </c>
      <c r="Z90" s="13">
        <v>381800</v>
      </c>
      <c r="AA90" s="13">
        <f>11738.29+7095</f>
        <v>18833.29</v>
      </c>
      <c r="AB90" s="76">
        <v>12000</v>
      </c>
      <c r="AC90" s="13"/>
      <c r="AD90" s="13">
        <v>0</v>
      </c>
      <c r="AE90" s="13"/>
      <c r="AF90" s="13">
        <f>Project_List[[#This Row],[Professional Service Agreement (PSA) Amount]]+Project_List[[#This Row],[Engineer''s Est]]+Project_List[[#This Row],[Estimated COA
Engineering / 
Admin]]</f>
        <v>231475</v>
      </c>
      <c r="AG90" s="13">
        <f>Project_List[[#This Row],[Professional Service Agreement (PSA) Amount]]+Project_List[[#This Row],[Final Construction Costs]]+Project_List[[#This Row],[Estimated COA
Engineering / 
Admin]]</f>
        <v>0</v>
      </c>
      <c r="AH90" s="13">
        <f>Project_List[[#This Row],[Overall Budget]]-Project_List[[#This Row],[Total Anticipated Costs (PSA+Est+COA Est)]]-Project_List[[#This Row],[Anticipated Costs Unincombered]]</f>
        <v>-43475</v>
      </c>
      <c r="AI90" s="1" t="s">
        <v>10</v>
      </c>
      <c r="AJ90" s="40">
        <v>10000</v>
      </c>
      <c r="AK90" s="32" t="s">
        <v>10</v>
      </c>
      <c r="AL90" s="1">
        <v>1</v>
      </c>
      <c r="AW90" s="41"/>
    </row>
    <row r="91" spans="1:49" ht="30" x14ac:dyDescent="0.25">
      <c r="A91" s="1" t="s">
        <v>256</v>
      </c>
      <c r="B91" s="1">
        <v>380</v>
      </c>
      <c r="C91" s="28" t="str">
        <f>LOOKUP(Project_List[[#This Row],[Fund No.]],'Code Lookup'!A$9:A$53,'Code Lookup'!B$9:B$53)</f>
        <v>2019/20 GO Bonds</v>
      </c>
      <c r="D91" s="1" t="s">
        <v>30</v>
      </c>
      <c r="E91" s="28" t="s">
        <v>428</v>
      </c>
      <c r="F91" s="1" t="s">
        <v>314</v>
      </c>
      <c r="G91" s="1" t="s">
        <v>154</v>
      </c>
      <c r="H91" s="32" t="s">
        <v>48</v>
      </c>
      <c r="I91" s="32">
        <v>120000</v>
      </c>
      <c r="J91" s="28">
        <v>63041</v>
      </c>
      <c r="K91" s="8" t="s">
        <v>0</v>
      </c>
      <c r="L91" s="21">
        <v>0</v>
      </c>
      <c r="M91" s="23">
        <v>0</v>
      </c>
      <c r="N91" s="1" t="s">
        <v>256</v>
      </c>
      <c r="O91" s="1" t="s">
        <v>256</v>
      </c>
      <c r="P91" s="37">
        <v>45870</v>
      </c>
      <c r="Q91" s="37"/>
      <c r="R91" s="37" t="s">
        <v>273</v>
      </c>
      <c r="S91" s="37">
        <v>46174</v>
      </c>
      <c r="T91" s="32" t="s">
        <v>14</v>
      </c>
      <c r="U91" s="32" t="s">
        <v>0</v>
      </c>
      <c r="V91" s="1" t="s">
        <v>12</v>
      </c>
      <c r="W91" s="1" t="s">
        <v>10</v>
      </c>
      <c r="X91" s="1" t="s">
        <v>10</v>
      </c>
      <c r="Y91" s="13">
        <v>120000</v>
      </c>
      <c r="Z91" s="13">
        <v>120000</v>
      </c>
      <c r="AA91" s="13"/>
      <c r="AB91" s="76"/>
      <c r="AC91" s="13">
        <f>120000-65980</f>
        <v>54020</v>
      </c>
      <c r="AD91" s="13">
        <v>0</v>
      </c>
      <c r="AE91" s="13">
        <v>0</v>
      </c>
      <c r="AF91" s="13">
        <f>Project_List[[#This Row],[Professional Service Agreement (PSA) Amount]]+Project_List[[#This Row],[Engineer''s Est]]+Project_List[[#This Row],[Estimated COA
Engineering / 
Admin]]</f>
        <v>120000</v>
      </c>
      <c r="AG91" s="13">
        <f>Project_List[[#This Row],[Professional Service Agreement (PSA) Amount]]+Project_List[[#This Row],[Final Construction Costs]]+Project_List[[#This Row],[Estimated COA
Engineering / 
Admin]]</f>
        <v>54020</v>
      </c>
      <c r="AH91" s="13">
        <f>Project_List[[#This Row],[Overall Budget]]-Project_List[[#This Row],[Total Anticipated Costs (PSA+Est+COA Est)]]-Project_List[[#This Row],[Anticipated Costs Unincombered]]</f>
        <v>0</v>
      </c>
      <c r="AI91" s="1" t="s">
        <v>10</v>
      </c>
      <c r="AJ91" s="40">
        <v>65980</v>
      </c>
      <c r="AK91" s="32" t="s">
        <v>10</v>
      </c>
      <c r="AL91" s="1">
        <v>0</v>
      </c>
      <c r="AW91" s="41"/>
    </row>
    <row r="92" spans="1:49" ht="30" x14ac:dyDescent="0.25">
      <c r="A92" s="1" t="s">
        <v>256</v>
      </c>
      <c r="B92" s="6">
        <v>510</v>
      </c>
      <c r="C92" s="27" t="str">
        <f>LOOKUP(Project_List[[#This Row],[Fund No.]],'Code Lookup'!A$9:A$53,'Code Lookup'!B$9:B$53)</f>
        <v>Water Utility</v>
      </c>
      <c r="D92" s="6" t="s">
        <v>64</v>
      </c>
      <c r="E92" s="29" t="s">
        <v>503</v>
      </c>
      <c r="F92" s="19" t="s">
        <v>90</v>
      </c>
      <c r="G92" s="1" t="s">
        <v>154</v>
      </c>
      <c r="H92" s="1" t="s">
        <v>48</v>
      </c>
      <c r="I92" s="32">
        <v>28000</v>
      </c>
      <c r="J92" s="28">
        <v>63041</v>
      </c>
      <c r="K92" s="1" t="s">
        <v>0</v>
      </c>
      <c r="L92" s="13">
        <v>0</v>
      </c>
      <c r="M92" s="13">
        <v>0</v>
      </c>
      <c r="N92" s="1" t="s">
        <v>256</v>
      </c>
      <c r="O92" s="1" t="s">
        <v>256</v>
      </c>
      <c r="P92" s="37">
        <v>45870</v>
      </c>
      <c r="Q92" s="37"/>
      <c r="R92" s="37" t="s">
        <v>273</v>
      </c>
      <c r="S92" s="37">
        <v>46174</v>
      </c>
      <c r="T92" s="1" t="s">
        <v>14</v>
      </c>
      <c r="U92" s="1" t="s">
        <v>0</v>
      </c>
      <c r="V92" s="1" t="s">
        <v>12</v>
      </c>
      <c r="W92" s="1" t="s">
        <v>10</v>
      </c>
      <c r="X92" s="28" t="s">
        <v>10</v>
      </c>
      <c r="Y92" s="13">
        <v>39220</v>
      </c>
      <c r="Z92" s="13">
        <v>27430</v>
      </c>
      <c r="AA92" s="13"/>
      <c r="AB92" s="76"/>
      <c r="AC92" s="13"/>
      <c r="AD92" s="13"/>
      <c r="AE92" s="13"/>
      <c r="AF92" s="13">
        <f>Project_List[[#This Row],[Professional Service Agreement (PSA) Amount]]+Project_List[[#This Row],[Engineer''s Est]]+Project_List[[#This Row],[Estimated COA
Engineering / 
Admin]]</f>
        <v>39220</v>
      </c>
      <c r="AG92" s="13">
        <f>Project_List[[#This Row],[Professional Service Agreement (PSA) Amount]]+Project_List[[#This Row],[Final Construction Costs]]+Project_List[[#This Row],[Estimated COA
Engineering / 
Admin]]</f>
        <v>0</v>
      </c>
      <c r="AH92" s="13">
        <f>Project_List[[#This Row],[Overall Budget]]-Project_List[[#This Row],[Total Anticipated Costs (PSA+Est+COA Est)]]-Project_List[[#This Row],[Anticipated Costs Unincombered]]</f>
        <v>-11220</v>
      </c>
      <c r="AI92" s="1" t="s">
        <v>10</v>
      </c>
      <c r="AJ92" s="40">
        <v>0</v>
      </c>
      <c r="AK92" s="32" t="s">
        <v>10</v>
      </c>
      <c r="AL92" s="1">
        <v>0</v>
      </c>
      <c r="AW92" s="41"/>
    </row>
    <row r="93" spans="1:49" ht="30" x14ac:dyDescent="0.25">
      <c r="A93" s="1" t="s">
        <v>256</v>
      </c>
      <c r="B93" s="6">
        <v>384</v>
      </c>
      <c r="C93" s="27" t="str">
        <f>LOOKUP(Project_List[[#This Row],[Fund No.]],'Code Lookup'!A$9:A$53,'Code Lookup'!B$9:B$53)</f>
        <v>2023/24 GO Bonds</v>
      </c>
      <c r="D93" s="6" t="s">
        <v>30</v>
      </c>
      <c r="E93" s="29" t="s">
        <v>237</v>
      </c>
      <c r="F93" s="19" t="s">
        <v>314</v>
      </c>
      <c r="G93" s="1" t="s">
        <v>154</v>
      </c>
      <c r="H93" s="1" t="s">
        <v>48</v>
      </c>
      <c r="I93" s="32">
        <v>1170300</v>
      </c>
      <c r="J93" s="28">
        <v>63041</v>
      </c>
      <c r="K93" s="1" t="s">
        <v>0</v>
      </c>
      <c r="L93" s="13">
        <v>0</v>
      </c>
      <c r="M93" s="13">
        <v>0</v>
      </c>
      <c r="N93" s="1" t="s">
        <v>256</v>
      </c>
      <c r="O93" s="1" t="s">
        <v>256</v>
      </c>
      <c r="P93" s="37">
        <v>45870</v>
      </c>
      <c r="Q93" s="37"/>
      <c r="R93" s="37" t="s">
        <v>273</v>
      </c>
      <c r="S93" s="37">
        <v>46174</v>
      </c>
      <c r="T93" s="1" t="s">
        <v>14</v>
      </c>
      <c r="U93" s="1" t="s">
        <v>0</v>
      </c>
      <c r="V93" s="1" t="s">
        <v>12</v>
      </c>
      <c r="W93" s="1" t="s">
        <v>10</v>
      </c>
      <c r="X93" s="1" t="s">
        <v>10</v>
      </c>
      <c r="Y93" s="13">
        <f>1141766.18-Y100-Y187-Y188</f>
        <v>1141766.18</v>
      </c>
      <c r="Z93" s="13">
        <f>1003926-Z100-Z187-Z188</f>
        <v>1003926</v>
      </c>
      <c r="AA93" s="13"/>
      <c r="AB93" s="76"/>
      <c r="AC93" s="13"/>
      <c r="AD93" s="13">
        <v>200000</v>
      </c>
      <c r="AE93" s="13"/>
      <c r="AF93" s="13">
        <f>Project_List[[#This Row],[Professional Service Agreement (PSA) Amount]]+Project_List[[#This Row],[Engineer''s Est]]+Project_List[[#This Row],[Estimated COA
Engineering / 
Admin]]</f>
        <v>1341766.18</v>
      </c>
      <c r="AG93" s="13">
        <f>Project_List[[#This Row],[Professional Service Agreement (PSA) Amount]]+Project_List[[#This Row],[Final Construction Costs]]+Project_List[[#This Row],[Estimated COA
Engineering / 
Admin]]</f>
        <v>200000</v>
      </c>
      <c r="AH93" s="13">
        <f>Project_List[[#This Row],[Overall Budget]]-Project_List[[#This Row],[Total Anticipated Costs (PSA+Est+COA Est)]]-Project_List[[#This Row],[Anticipated Costs Unincombered]]</f>
        <v>-171466.17999999993</v>
      </c>
      <c r="AI93" s="1" t="s">
        <v>10</v>
      </c>
      <c r="AJ93" s="40">
        <v>358394</v>
      </c>
      <c r="AK93" s="32" t="s">
        <v>10</v>
      </c>
      <c r="AL93" s="1">
        <v>1</v>
      </c>
      <c r="AW93" s="41"/>
    </row>
    <row r="94" spans="1:49" ht="30" x14ac:dyDescent="0.25">
      <c r="A94" s="1" t="s">
        <v>256</v>
      </c>
      <c r="B94" s="1">
        <v>60</v>
      </c>
      <c r="C94" s="28" t="str">
        <f>LOOKUP(Project_List[[#This Row],[Fund No.]],'Code Lookup'!A$9:A$53,'Code Lookup'!B$9:B$53)</f>
        <v>Road Use Tax</v>
      </c>
      <c r="D94" s="1" t="s">
        <v>30</v>
      </c>
      <c r="E94" s="28" t="s">
        <v>379</v>
      </c>
      <c r="F94" s="1" t="s">
        <v>314</v>
      </c>
      <c r="G94" s="1" t="s">
        <v>154</v>
      </c>
      <c r="H94" s="32" t="s">
        <v>48</v>
      </c>
      <c r="I94" s="32">
        <v>75000</v>
      </c>
      <c r="J94" s="28">
        <v>63041</v>
      </c>
      <c r="K94" s="8" t="s">
        <v>0</v>
      </c>
      <c r="L94" s="21">
        <v>0</v>
      </c>
      <c r="M94" s="23">
        <v>0</v>
      </c>
      <c r="N94" s="1" t="s">
        <v>256</v>
      </c>
      <c r="O94" s="1" t="s">
        <v>256</v>
      </c>
      <c r="P94" s="37">
        <v>45870</v>
      </c>
      <c r="Q94" s="37"/>
      <c r="R94" s="37" t="s">
        <v>273</v>
      </c>
      <c r="S94" s="37">
        <v>46174</v>
      </c>
      <c r="T94" s="32" t="s">
        <v>14</v>
      </c>
      <c r="U94" s="32" t="s">
        <v>0</v>
      </c>
      <c r="V94" s="1" t="s">
        <v>12</v>
      </c>
      <c r="W94" s="1" t="s">
        <v>10</v>
      </c>
      <c r="X94" s="28" t="s">
        <v>10</v>
      </c>
      <c r="Y94" s="13">
        <f>75000</f>
        <v>75000</v>
      </c>
      <c r="Z94" s="13">
        <v>75000</v>
      </c>
      <c r="AA94" s="13"/>
      <c r="AB94" s="76"/>
      <c r="AC94" s="13">
        <v>75000</v>
      </c>
      <c r="AD94" s="13">
        <v>0</v>
      </c>
      <c r="AE94" s="13">
        <v>0</v>
      </c>
      <c r="AF94" s="13">
        <f>Project_List[[#This Row],[Professional Service Agreement (PSA) Amount]]+Project_List[[#This Row],[Engineer''s Est]]+Project_List[[#This Row],[Estimated COA
Engineering / 
Admin]]</f>
        <v>75000</v>
      </c>
      <c r="AG94" s="13">
        <f>Project_List[[#This Row],[Professional Service Agreement (PSA) Amount]]+Project_List[[#This Row],[Final Construction Costs]]+Project_List[[#This Row],[Estimated COA
Engineering / 
Admin]]</f>
        <v>75000</v>
      </c>
      <c r="AH94" s="13">
        <f>Project_List[[#This Row],[Overall Budget]]-Project_List[[#This Row],[Total Anticipated Costs (PSA+Est+COA Est)]]-Project_List[[#This Row],[Anticipated Costs Unincombered]]</f>
        <v>0</v>
      </c>
      <c r="AI94" s="1" t="s">
        <v>10</v>
      </c>
      <c r="AJ94" s="40">
        <v>0</v>
      </c>
      <c r="AK94" s="32" t="s">
        <v>10</v>
      </c>
      <c r="AL94" s="1">
        <v>0</v>
      </c>
      <c r="AW94" s="41"/>
    </row>
    <row r="95" spans="1:49" ht="30" x14ac:dyDescent="0.25">
      <c r="A95" s="1" t="s">
        <v>256</v>
      </c>
      <c r="B95" s="1">
        <v>384</v>
      </c>
      <c r="C95" s="27" t="str">
        <f>LOOKUP(Project_List[[#This Row],[Fund No.]],'Code Lookup'!A$9:A$53,'Code Lookup'!B$9:B$53)</f>
        <v>2023/24 GO Bonds</v>
      </c>
      <c r="D95" s="1" t="s">
        <v>30</v>
      </c>
      <c r="E95" s="28" t="s">
        <v>145</v>
      </c>
      <c r="F95" s="18" t="s">
        <v>63</v>
      </c>
      <c r="G95" s="46" t="s">
        <v>205</v>
      </c>
      <c r="H95" s="1" t="s">
        <v>49</v>
      </c>
      <c r="I95" s="32">
        <v>900000</v>
      </c>
      <c r="J95" s="28">
        <v>62905</v>
      </c>
      <c r="K95" s="1" t="s">
        <v>4</v>
      </c>
      <c r="L95" s="13">
        <v>0</v>
      </c>
      <c r="M95" s="13">
        <v>0</v>
      </c>
      <c r="N95" s="1" t="s">
        <v>256</v>
      </c>
      <c r="O95" s="1" t="s">
        <v>256</v>
      </c>
      <c r="P95" s="37">
        <v>45566</v>
      </c>
      <c r="Q95" s="37">
        <v>45965</v>
      </c>
      <c r="R95" s="37" t="s">
        <v>273</v>
      </c>
      <c r="S95" s="37">
        <v>46022</v>
      </c>
      <c r="T95" s="1" t="s">
        <v>11</v>
      </c>
      <c r="U95" s="1" t="s">
        <v>4</v>
      </c>
      <c r="V95" s="1" t="s">
        <v>12</v>
      </c>
      <c r="W95" s="1" t="s">
        <v>10</v>
      </c>
      <c r="X95" s="1" t="s">
        <v>10</v>
      </c>
      <c r="Y95" s="13">
        <v>832278.3</v>
      </c>
      <c r="Z95" s="13">
        <f>706554.2-Z96</f>
        <v>346298.69999999995</v>
      </c>
      <c r="AA95" s="13">
        <f>39400+42128.41</f>
        <v>81528.41</v>
      </c>
      <c r="AB95" s="76"/>
      <c r="AC95" s="13">
        <v>761082.61</v>
      </c>
      <c r="AD95" s="13">
        <v>116000</v>
      </c>
      <c r="AE95" s="13"/>
      <c r="AF95" s="13">
        <f>Project_List[[#This Row],[Professional Service Agreement (PSA) Amount]]+Project_List[[#This Row],[Engineer''s Est]]+Project_List[[#This Row],[Estimated COA
Engineering / 
Admin]]</f>
        <v>948278.3</v>
      </c>
      <c r="AG95" s="13">
        <f>Project_List[[#This Row],[Professional Service Agreement (PSA) Amount]]+Project_List[[#This Row],[Final Construction Costs]]+Project_List[[#This Row],[Estimated COA
Engineering / 
Admin]]</f>
        <v>877082.61</v>
      </c>
      <c r="AH95" s="13">
        <f>Project_List[[#This Row],[Overall Budget]]-Project_List[[#This Row],[Total Anticipated Costs (PSA+Est+COA Est)]]-Project_List[[#This Row],[Anticipated Costs Unincombered]]</f>
        <v>-48278.300000000047</v>
      </c>
      <c r="AI95" s="1" t="s">
        <v>10</v>
      </c>
      <c r="AJ95" s="40">
        <v>172551</v>
      </c>
      <c r="AK95" s="32" t="s">
        <v>10</v>
      </c>
      <c r="AL95" s="1">
        <v>1</v>
      </c>
      <c r="AW95" s="41"/>
    </row>
    <row r="96" spans="1:49" ht="60" x14ac:dyDescent="0.25">
      <c r="A96" s="1" t="s">
        <v>256</v>
      </c>
      <c r="B96" s="1">
        <v>510</v>
      </c>
      <c r="C96" s="27" t="str">
        <f>LOOKUP(Project_List[[#This Row],[Fund No.]],'Code Lookup'!A$9:A$53,'Code Lookup'!B$9:B$53)</f>
        <v>Water Utility</v>
      </c>
      <c r="D96" s="1" t="s">
        <v>64</v>
      </c>
      <c r="E96" s="28" t="s">
        <v>55</v>
      </c>
      <c r="F96" s="19" t="s">
        <v>90</v>
      </c>
      <c r="G96" s="1" t="s">
        <v>239</v>
      </c>
      <c r="H96" s="1" t="s">
        <v>49</v>
      </c>
      <c r="I96" s="32">
        <v>373315</v>
      </c>
      <c r="J96" s="28">
        <v>62893</v>
      </c>
      <c r="K96" s="1" t="s">
        <v>4</v>
      </c>
      <c r="L96" s="13">
        <v>0</v>
      </c>
      <c r="M96" s="13">
        <v>0</v>
      </c>
      <c r="N96" s="1" t="s">
        <v>256</v>
      </c>
      <c r="O96" s="1" t="s">
        <v>256</v>
      </c>
      <c r="P96" s="37">
        <v>45413</v>
      </c>
      <c r="Q96" s="37">
        <v>45808</v>
      </c>
      <c r="R96" s="37" t="s">
        <v>273</v>
      </c>
      <c r="S96" s="37">
        <v>46022</v>
      </c>
      <c r="T96" s="1" t="s">
        <v>14</v>
      </c>
      <c r="U96" s="1" t="s">
        <v>4</v>
      </c>
      <c r="V96" s="1" t="s">
        <v>18</v>
      </c>
      <c r="W96" s="1" t="s">
        <v>10</v>
      </c>
      <c r="X96" s="28" t="s">
        <v>10</v>
      </c>
      <c r="Y96" s="13">
        <v>445850</v>
      </c>
      <c r="Z96" s="13">
        <v>360255.5</v>
      </c>
      <c r="AA96" s="13"/>
      <c r="AB96" s="76"/>
      <c r="AC96" s="13">
        <v>373315</v>
      </c>
      <c r="AD96" s="13">
        <v>0</v>
      </c>
      <c r="AE96" s="13"/>
      <c r="AF96" s="13">
        <f>Project_List[[#This Row],[Professional Service Agreement (PSA) Amount]]+Project_List[[#This Row],[Engineer''s Est]]+Project_List[[#This Row],[Estimated COA
Engineering / 
Admin]]</f>
        <v>445850</v>
      </c>
      <c r="AG96" s="13">
        <f>Project_List[[#This Row],[Professional Service Agreement (PSA) Amount]]+Project_List[[#This Row],[Final Construction Costs]]+Project_List[[#This Row],[Estimated COA
Engineering / 
Admin]]</f>
        <v>373315</v>
      </c>
      <c r="AH96" s="13">
        <f>Project_List[[#This Row],[Overall Budget]]-Project_List[[#This Row],[Total Anticipated Costs (PSA+Est+COA Est)]]-Project_List[[#This Row],[Anticipated Costs Unincombered]]</f>
        <v>-72535</v>
      </c>
      <c r="AI96" s="1" t="s">
        <v>10</v>
      </c>
      <c r="AJ96" s="40"/>
      <c r="AK96" s="36" t="s">
        <v>10</v>
      </c>
      <c r="AL96" s="1">
        <v>1</v>
      </c>
      <c r="AW96" s="41"/>
    </row>
    <row r="97" spans="1:49" ht="60" x14ac:dyDescent="0.25">
      <c r="A97" s="1" t="s">
        <v>256</v>
      </c>
      <c r="B97" s="1">
        <v>60</v>
      </c>
      <c r="C97" s="27" t="str">
        <f>LOOKUP(Project_List[[#This Row],[Fund No.]],'Code Lookup'!A$9:A$53,'Code Lookup'!B$9:B$53)</f>
        <v>Road Use Tax</v>
      </c>
      <c r="D97" s="1" t="s">
        <v>30</v>
      </c>
      <c r="E97" s="28" t="s">
        <v>216</v>
      </c>
      <c r="F97" s="18" t="s">
        <v>218</v>
      </c>
      <c r="G97" s="1" t="s">
        <v>239</v>
      </c>
      <c r="H97" s="1" t="s">
        <v>49</v>
      </c>
      <c r="I97" s="32">
        <v>300000</v>
      </c>
      <c r="J97" s="28">
        <v>62893</v>
      </c>
      <c r="K97" s="2" t="s">
        <v>4</v>
      </c>
      <c r="L97" s="12">
        <v>0</v>
      </c>
      <c r="M97" s="13">
        <v>0</v>
      </c>
      <c r="N97" s="1" t="s">
        <v>256</v>
      </c>
      <c r="O97" s="1" t="s">
        <v>256</v>
      </c>
      <c r="P97" s="37">
        <v>45413</v>
      </c>
      <c r="Q97" s="37">
        <v>45808</v>
      </c>
      <c r="R97" s="37" t="s">
        <v>273</v>
      </c>
      <c r="S97" s="37">
        <v>46022</v>
      </c>
      <c r="T97" s="1" t="s">
        <v>14</v>
      </c>
      <c r="U97" s="1" t="s">
        <v>4</v>
      </c>
      <c r="V97" s="1" t="s">
        <v>18</v>
      </c>
      <c r="W97" s="1" t="s">
        <v>10</v>
      </c>
      <c r="X97" s="1" t="s">
        <v>10</v>
      </c>
      <c r="Y97" s="13">
        <v>268905</v>
      </c>
      <c r="Z97" s="13">
        <v>307042</v>
      </c>
      <c r="AA97" s="13"/>
      <c r="AB97" s="76"/>
      <c r="AC97" s="13">
        <v>124474.8</v>
      </c>
      <c r="AD97" s="13">
        <v>0</v>
      </c>
      <c r="AE97" s="13">
        <v>75500</v>
      </c>
      <c r="AF97" s="13">
        <f>Project_List[[#This Row],[Professional Service Agreement (PSA) Amount]]+Project_List[[#This Row],[Engineer''s Est]]+Project_List[[#This Row],[Estimated COA
Engineering / 
Admin]]</f>
        <v>268905</v>
      </c>
      <c r="AG97" s="13">
        <f>Project_List[[#This Row],[Professional Service Agreement (PSA) Amount]]+Project_List[[#This Row],[Final Construction Costs]]+Project_List[[#This Row],[Estimated COA
Engineering / 
Admin]]</f>
        <v>124474.8</v>
      </c>
      <c r="AH97" s="13">
        <f>Project_List[[#This Row],[Overall Budget]]-Project_List[[#This Row],[Total Anticipated Costs (PSA+Est+COA Est)]]-Project_List[[#This Row],[Anticipated Costs Unincombered]]</f>
        <v>31095</v>
      </c>
      <c r="AI97" s="1" t="s">
        <v>10</v>
      </c>
      <c r="AJ97" s="40">
        <v>331421</v>
      </c>
      <c r="AK97" s="36" t="s">
        <v>10</v>
      </c>
      <c r="AL97" s="1">
        <v>0</v>
      </c>
      <c r="AW97" s="41"/>
    </row>
    <row r="98" spans="1:49" ht="60" x14ac:dyDescent="0.25">
      <c r="A98" s="1" t="s">
        <v>256</v>
      </c>
      <c r="B98" s="1">
        <v>384</v>
      </c>
      <c r="C98" s="27" t="str">
        <f>LOOKUP(Project_List[[#This Row],[Fund No.]],'Code Lookup'!A$9:A$53,'Code Lookup'!B$9:B$53)</f>
        <v>2023/24 GO Bonds</v>
      </c>
      <c r="D98" s="1" t="s">
        <v>30</v>
      </c>
      <c r="E98" s="28" t="s">
        <v>197</v>
      </c>
      <c r="F98" s="18" t="s">
        <v>316</v>
      </c>
      <c r="G98" s="1" t="s">
        <v>239</v>
      </c>
      <c r="H98" s="1" t="s">
        <v>49</v>
      </c>
      <c r="I98" s="32">
        <v>1750000</v>
      </c>
      <c r="J98" s="28">
        <v>62893</v>
      </c>
      <c r="K98" s="1" t="s">
        <v>4</v>
      </c>
      <c r="L98" s="13">
        <v>0</v>
      </c>
      <c r="M98" s="13">
        <v>0</v>
      </c>
      <c r="N98" s="1" t="s">
        <v>256</v>
      </c>
      <c r="O98" s="1" t="s">
        <v>256</v>
      </c>
      <c r="P98" s="37">
        <v>45413</v>
      </c>
      <c r="Q98" s="37">
        <v>45808</v>
      </c>
      <c r="R98" s="37" t="s">
        <v>273</v>
      </c>
      <c r="S98" s="37">
        <v>46022</v>
      </c>
      <c r="T98" s="1" t="s">
        <v>14</v>
      </c>
      <c r="U98" s="1" t="s">
        <v>4</v>
      </c>
      <c r="V98" s="1" t="s">
        <v>18</v>
      </c>
      <c r="W98" s="1" t="s">
        <v>10</v>
      </c>
      <c r="X98" s="28" t="s">
        <v>10</v>
      </c>
      <c r="Y98" s="13">
        <v>1342729.5</v>
      </c>
      <c r="Z98" s="13">
        <v>989241.26</v>
      </c>
      <c r="AA98" s="13"/>
      <c r="AB98" s="76"/>
      <c r="AC98" s="13">
        <v>974576.39</v>
      </c>
      <c r="AD98" s="13">
        <v>130000</v>
      </c>
      <c r="AE98" s="13"/>
      <c r="AF98" s="13">
        <f>Project_List[[#This Row],[Professional Service Agreement (PSA) Amount]]+Project_List[[#This Row],[Engineer''s Est]]+Project_List[[#This Row],[Estimated COA
Engineering / 
Admin]]</f>
        <v>1472729.5</v>
      </c>
      <c r="AG98" s="13">
        <f>Project_List[[#This Row],[Professional Service Agreement (PSA) Amount]]+Project_List[[#This Row],[Final Construction Costs]]+Project_List[[#This Row],[Estimated COA
Engineering / 
Admin]]</f>
        <v>1104576.3900000001</v>
      </c>
      <c r="AH98" s="13">
        <f>Project_List[[#This Row],[Overall Budget]]-Project_List[[#This Row],[Total Anticipated Costs (PSA+Est+COA Est)]]-Project_List[[#This Row],[Anticipated Costs Unincombered]]</f>
        <v>277270.5</v>
      </c>
      <c r="AI98" s="1" t="s">
        <v>10</v>
      </c>
      <c r="AJ98" s="40">
        <v>610937</v>
      </c>
      <c r="AK98" s="32" t="s">
        <v>10</v>
      </c>
      <c r="AL98" s="1">
        <v>0</v>
      </c>
      <c r="AW98" s="41"/>
    </row>
    <row r="99" spans="1:49" ht="30" x14ac:dyDescent="0.25">
      <c r="A99" s="1" t="s">
        <v>256</v>
      </c>
      <c r="B99" s="1">
        <v>384</v>
      </c>
      <c r="C99" s="27" t="str">
        <f>LOOKUP(Project_List[[#This Row],[Fund No.]],'Code Lookup'!A$9:A$53,'Code Lookup'!B$9:B$53)</f>
        <v>2023/24 GO Bonds</v>
      </c>
      <c r="D99" s="1" t="s">
        <v>30</v>
      </c>
      <c r="E99" s="28" t="s">
        <v>129</v>
      </c>
      <c r="F99" s="18" t="s">
        <v>61</v>
      </c>
      <c r="G99" s="59" t="s">
        <v>136</v>
      </c>
      <c r="H99" s="1" t="s">
        <v>49</v>
      </c>
      <c r="I99" s="32">
        <v>1319224</v>
      </c>
      <c r="J99" s="28">
        <v>63108</v>
      </c>
      <c r="K99" s="1" t="s">
        <v>0</v>
      </c>
      <c r="L99" s="13">
        <v>0</v>
      </c>
      <c r="M99" s="13">
        <v>0</v>
      </c>
      <c r="N99" s="1" t="s">
        <v>256</v>
      </c>
      <c r="O99" s="1" t="s">
        <v>256</v>
      </c>
      <c r="P99" s="37">
        <v>45427</v>
      </c>
      <c r="Q99" s="37">
        <v>45626</v>
      </c>
      <c r="R99" s="37" t="s">
        <v>257</v>
      </c>
      <c r="S99" s="37">
        <v>45870</v>
      </c>
      <c r="T99" s="1" t="s">
        <v>11</v>
      </c>
      <c r="U99" s="1" t="s">
        <v>0</v>
      </c>
      <c r="V99" s="1" t="s">
        <v>456</v>
      </c>
      <c r="W99" s="1" t="s">
        <v>10</v>
      </c>
      <c r="X99" s="1" t="s">
        <v>10</v>
      </c>
      <c r="Y99" s="13">
        <v>1182320.3999999999</v>
      </c>
      <c r="Z99" s="13">
        <v>1187598.8899999999</v>
      </c>
      <c r="AA99" s="13"/>
      <c r="AB99" s="76"/>
      <c r="AC99" s="13">
        <f>1405169.13-160643-9405</f>
        <v>1235121.1299999999</v>
      </c>
      <c r="AD99" s="13">
        <v>140000</v>
      </c>
      <c r="AE99" s="13"/>
      <c r="AF99" s="13">
        <f>Project_List[[#This Row],[Professional Service Agreement (PSA) Amount]]+Project_List[[#This Row],[Engineer''s Est]]+Project_List[[#This Row],[Estimated COA
Engineering / 
Admin]]</f>
        <v>1322320.3999999999</v>
      </c>
      <c r="AG99" s="13">
        <f>Project_List[[#This Row],[Professional Service Agreement (PSA) Amount]]+Project_List[[#This Row],[Final Construction Costs]]+Project_List[[#This Row],[Estimated COA
Engineering / 
Admin]]</f>
        <v>1375121.13</v>
      </c>
      <c r="AH99" s="13">
        <f>Project_List[[#This Row],[Overall Budget]]-Project_List[[#This Row],[Total Anticipated Costs (PSA+Est+COA Est)]]-Project_List[[#This Row],[Anticipated Costs Unincombered]]</f>
        <v>-3096.3999999999069</v>
      </c>
      <c r="AI99" s="1" t="s">
        <v>10</v>
      </c>
      <c r="AJ99" s="40">
        <v>0</v>
      </c>
      <c r="AK99" s="32" t="s">
        <v>10</v>
      </c>
      <c r="AL99" s="1">
        <v>0</v>
      </c>
      <c r="AW99" s="41"/>
    </row>
    <row r="100" spans="1:49" ht="30" x14ac:dyDescent="0.25">
      <c r="A100" s="1" t="s">
        <v>256</v>
      </c>
      <c r="B100" s="1">
        <v>530</v>
      </c>
      <c r="C100" s="27" t="str">
        <f>LOOKUP(Project_List[[#This Row],[Fund No.]],'Code Lookup'!A$9:A$53,'Code Lookup'!B$9:B$53)</f>
        <v>Electric Services</v>
      </c>
      <c r="D100" s="1" t="s">
        <v>141</v>
      </c>
      <c r="E100" s="28" t="s">
        <v>131</v>
      </c>
      <c r="F100" s="18" t="s">
        <v>61</v>
      </c>
      <c r="G100" s="1" t="s">
        <v>136</v>
      </c>
      <c r="H100" s="32" t="s">
        <v>49</v>
      </c>
      <c r="I100" s="32">
        <v>9405</v>
      </c>
      <c r="J100" s="28">
        <v>63108</v>
      </c>
      <c r="K100" s="8" t="s">
        <v>0</v>
      </c>
      <c r="L100" s="12">
        <v>0</v>
      </c>
      <c r="M100" s="12">
        <v>0</v>
      </c>
      <c r="N100" s="1" t="s">
        <v>256</v>
      </c>
      <c r="O100" s="1" t="s">
        <v>256</v>
      </c>
      <c r="P100" s="37">
        <v>45427</v>
      </c>
      <c r="Q100" s="37">
        <v>45626</v>
      </c>
      <c r="R100" s="37" t="s">
        <v>257</v>
      </c>
      <c r="S100" s="37">
        <v>45870</v>
      </c>
      <c r="T100" s="1" t="s">
        <v>11</v>
      </c>
      <c r="U100" s="32" t="s">
        <v>0</v>
      </c>
      <c r="V100" s="32" t="s">
        <v>456</v>
      </c>
      <c r="W100" s="1" t="s">
        <v>10</v>
      </c>
      <c r="X100" s="28" t="s">
        <v>10</v>
      </c>
      <c r="Y100" s="13">
        <v>0</v>
      </c>
      <c r="Z100" s="13">
        <v>0</v>
      </c>
      <c r="AA100" s="13"/>
      <c r="AB100" s="76"/>
      <c r="AC100" s="13">
        <v>9405</v>
      </c>
      <c r="AD100" s="13"/>
      <c r="AE100" s="13"/>
      <c r="AF100" s="13">
        <f>Project_List[[#This Row],[Professional Service Agreement (PSA) Amount]]+Project_List[[#This Row],[Engineer''s Est]]+Project_List[[#This Row],[Estimated COA
Engineering / 
Admin]]</f>
        <v>0</v>
      </c>
      <c r="AG100" s="13">
        <f>Project_List[[#This Row],[Professional Service Agreement (PSA) Amount]]+Project_List[[#This Row],[Final Construction Costs]]+Project_List[[#This Row],[Estimated COA
Engineering / 
Admin]]</f>
        <v>9405</v>
      </c>
      <c r="AH100" s="13">
        <f>Project_List[[#This Row],[Overall Budget]]-Project_List[[#This Row],[Total Anticipated Costs (PSA+Est+COA Est)]]-Project_List[[#This Row],[Anticipated Costs Unincombered]]</f>
        <v>9405</v>
      </c>
      <c r="AI100" s="2" t="s">
        <v>10</v>
      </c>
      <c r="AJ100" s="31">
        <v>0</v>
      </c>
      <c r="AK100" s="36" t="s">
        <v>10</v>
      </c>
      <c r="AL100" s="1">
        <v>0</v>
      </c>
      <c r="AW100" s="41"/>
    </row>
    <row r="101" spans="1:49" ht="51.75" x14ac:dyDescent="0.25">
      <c r="A101" s="1" t="s">
        <v>256</v>
      </c>
      <c r="B101" s="1">
        <v>510</v>
      </c>
      <c r="C101" s="27" t="str">
        <f>LOOKUP(Project_List[[#This Row],[Fund No.]],'Code Lookup'!A$9:A$53,'Code Lookup'!B$9:B$53)</f>
        <v>Water Utility</v>
      </c>
      <c r="D101" s="1" t="s">
        <v>64</v>
      </c>
      <c r="E101" s="28" t="s">
        <v>55</v>
      </c>
      <c r="F101" s="18" t="s">
        <v>90</v>
      </c>
      <c r="G101" s="46" t="s">
        <v>342</v>
      </c>
      <c r="H101" s="1" t="s">
        <v>49</v>
      </c>
      <c r="J101" s="28">
        <v>62892</v>
      </c>
      <c r="K101" s="1" t="s">
        <v>4</v>
      </c>
      <c r="L101" s="13">
        <v>0</v>
      </c>
      <c r="M101" s="13">
        <v>0</v>
      </c>
      <c r="N101" s="1" t="s">
        <v>256</v>
      </c>
      <c r="O101" s="1" t="s">
        <v>256</v>
      </c>
      <c r="P101" s="37">
        <v>45413</v>
      </c>
      <c r="Q101" s="37">
        <v>45747</v>
      </c>
      <c r="R101" s="37" t="s">
        <v>257</v>
      </c>
      <c r="S101" s="37">
        <v>46022</v>
      </c>
      <c r="T101" s="1" t="s">
        <v>7</v>
      </c>
      <c r="U101" s="1" t="s">
        <v>4</v>
      </c>
      <c r="V101" s="1" t="s">
        <v>18</v>
      </c>
      <c r="W101" s="1" t="s">
        <v>10</v>
      </c>
      <c r="X101" s="1" t="s">
        <v>10</v>
      </c>
      <c r="Y101" s="13">
        <v>195687.5</v>
      </c>
      <c r="Z101" s="13">
        <v>143101.04999999999</v>
      </c>
      <c r="AA101" s="13"/>
      <c r="AB101" s="76"/>
      <c r="AC101" s="13">
        <v>167300</v>
      </c>
      <c r="AD101" s="13"/>
      <c r="AE101" s="13"/>
      <c r="AF101" s="13">
        <f>Project_List[[#This Row],[Professional Service Agreement (PSA) Amount]]+Project_List[[#This Row],[Engineer''s Est]]+Project_List[[#This Row],[Estimated COA
Engineering / 
Admin]]</f>
        <v>195687.5</v>
      </c>
      <c r="AG101" s="13">
        <f>Project_List[[#This Row],[Professional Service Agreement (PSA) Amount]]+Project_List[[#This Row],[Final Construction Costs]]+Project_List[[#This Row],[Estimated COA
Engineering / 
Admin]]</f>
        <v>167300</v>
      </c>
      <c r="AH101" s="13">
        <f>Project_List[[#This Row],[Overall Budget]]-Project_List[[#This Row],[Total Anticipated Costs (PSA+Est+COA Est)]]-Project_List[[#This Row],[Anticipated Costs Unincombered]]</f>
        <v>-195687.5</v>
      </c>
      <c r="AI101" s="1" t="s">
        <v>10</v>
      </c>
      <c r="AJ101" s="40"/>
      <c r="AK101" s="36" t="s">
        <v>10</v>
      </c>
      <c r="AL101" s="1">
        <v>0</v>
      </c>
    </row>
    <row r="102" spans="1:49" ht="51.75" x14ac:dyDescent="0.25">
      <c r="A102" s="1" t="s">
        <v>256</v>
      </c>
      <c r="B102" s="1">
        <v>384</v>
      </c>
      <c r="C102" s="27" t="str">
        <f>LOOKUP(Project_List[[#This Row],[Fund No.]],'Code Lookup'!A$9:A$53,'Code Lookup'!B$9:B$53)</f>
        <v>2023/24 GO Bonds</v>
      </c>
      <c r="D102" s="1" t="s">
        <v>30</v>
      </c>
      <c r="E102" s="28" t="s">
        <v>145</v>
      </c>
      <c r="F102" s="18" t="s">
        <v>63</v>
      </c>
      <c r="G102" s="46" t="s">
        <v>342</v>
      </c>
      <c r="H102" s="1" t="s">
        <v>49</v>
      </c>
      <c r="J102" s="28">
        <v>62892</v>
      </c>
      <c r="K102" s="1" t="s">
        <v>4</v>
      </c>
      <c r="L102" s="13">
        <v>0</v>
      </c>
      <c r="M102" s="13">
        <v>0</v>
      </c>
      <c r="N102" s="1" t="s">
        <v>256</v>
      </c>
      <c r="O102" s="1" t="s">
        <v>256</v>
      </c>
      <c r="P102" s="37">
        <v>45413</v>
      </c>
      <c r="Q102" s="37">
        <v>45747</v>
      </c>
      <c r="R102" s="37" t="s">
        <v>257</v>
      </c>
      <c r="S102" s="37">
        <v>46022</v>
      </c>
      <c r="T102" s="1" t="s">
        <v>7</v>
      </c>
      <c r="U102" s="1" t="s">
        <v>4</v>
      </c>
      <c r="V102" s="1" t="s">
        <v>18</v>
      </c>
      <c r="W102" s="1" t="s">
        <v>10</v>
      </c>
      <c r="X102" s="28" t="s">
        <v>10</v>
      </c>
      <c r="Y102" s="13">
        <v>1740770.5</v>
      </c>
      <c r="Z102" s="13">
        <v>1276560.52</v>
      </c>
      <c r="AA102" s="13"/>
      <c r="AB102" s="76"/>
      <c r="AC102" s="13">
        <v>1494587.37</v>
      </c>
      <c r="AD102" s="13"/>
      <c r="AE102" s="13"/>
      <c r="AF102" s="13">
        <f>Project_List[[#This Row],[Professional Service Agreement (PSA) Amount]]+Project_List[[#This Row],[Engineer''s Est]]+Project_List[[#This Row],[Estimated COA
Engineering / 
Admin]]</f>
        <v>1740770.5</v>
      </c>
      <c r="AG102" s="13">
        <f>Project_List[[#This Row],[Professional Service Agreement (PSA) Amount]]+Project_List[[#This Row],[Final Construction Costs]]+Project_List[[#This Row],[Estimated COA
Engineering / 
Admin]]</f>
        <v>1494587.37</v>
      </c>
      <c r="AH102" s="13">
        <f>Project_List[[#This Row],[Overall Budget]]-Project_List[[#This Row],[Total Anticipated Costs (PSA+Est+COA Est)]]-Project_List[[#This Row],[Anticipated Costs Unincombered]]</f>
        <v>-1740770.5</v>
      </c>
      <c r="AI102" s="1" t="s">
        <v>10</v>
      </c>
      <c r="AJ102" s="40">
        <v>0</v>
      </c>
      <c r="AK102" s="36" t="s">
        <v>10</v>
      </c>
      <c r="AL102" s="1">
        <v>0</v>
      </c>
    </row>
    <row r="103" spans="1:49" ht="30" x14ac:dyDescent="0.25">
      <c r="A103" s="1" t="s">
        <v>256</v>
      </c>
      <c r="B103" s="1">
        <v>510</v>
      </c>
      <c r="C103" s="27" t="str">
        <f>LOOKUP(Project_List[[#This Row],[Fund No.]],'Code Lookup'!A$9:A$53,'Code Lookup'!B$9:B$53)</f>
        <v>Water Utility</v>
      </c>
      <c r="D103" s="1" t="s">
        <v>64</v>
      </c>
      <c r="E103" s="28" t="s">
        <v>55</v>
      </c>
      <c r="F103" s="19" t="s">
        <v>90</v>
      </c>
      <c r="G103" s="1" t="s">
        <v>195</v>
      </c>
      <c r="H103" s="1" t="s">
        <v>169</v>
      </c>
      <c r="I103" s="32">
        <v>808389.46</v>
      </c>
      <c r="J103" s="28">
        <v>63386</v>
      </c>
      <c r="K103" s="1" t="s">
        <v>0</v>
      </c>
      <c r="L103" s="13">
        <v>0</v>
      </c>
      <c r="M103" s="13">
        <v>0</v>
      </c>
      <c r="N103" s="1" t="s">
        <v>256</v>
      </c>
      <c r="O103" s="1" t="s">
        <v>256</v>
      </c>
      <c r="P103" s="37">
        <v>45726</v>
      </c>
      <c r="Q103" s="37">
        <v>45986</v>
      </c>
      <c r="R103" s="37" t="s">
        <v>273</v>
      </c>
      <c r="S103" s="37">
        <v>46022</v>
      </c>
      <c r="T103" s="1" t="s">
        <v>7</v>
      </c>
      <c r="U103" s="2" t="s">
        <v>24</v>
      </c>
      <c r="V103" s="1" t="s">
        <v>54</v>
      </c>
      <c r="W103" s="1" t="s">
        <v>10</v>
      </c>
      <c r="X103" s="1" t="s">
        <v>10</v>
      </c>
      <c r="Y103" s="13">
        <v>910652.5</v>
      </c>
      <c r="Z103" s="13">
        <v>808389.46</v>
      </c>
      <c r="AA103" s="13">
        <f>12525+8254.36+27787.5+33945.61</f>
        <v>82512.47</v>
      </c>
      <c r="AB103" s="76"/>
      <c r="AC103" s="13">
        <v>890901.93</v>
      </c>
      <c r="AD103" s="13">
        <v>122000</v>
      </c>
      <c r="AE103" s="13">
        <v>122000</v>
      </c>
      <c r="AF103" s="13">
        <f>Project_List[[#This Row],[Professional Service Agreement (PSA) Amount]]+Project_List[[#This Row],[Engineer''s Est]]+Project_List[[#This Row],[Estimated COA
Engineering / 
Admin]]</f>
        <v>1032652.5</v>
      </c>
      <c r="AG103" s="13">
        <f>Project_List[[#This Row],[Professional Service Agreement (PSA) Amount]]+Project_List[[#This Row],[Final Construction Costs]]+Project_List[[#This Row],[Estimated COA
Engineering / 
Admin]]</f>
        <v>1012901.93</v>
      </c>
      <c r="AH103" s="13">
        <f>Project_List[[#This Row],[Overall Budget]]-Project_List[[#This Row],[Total Anticipated Costs (PSA+Est+COA Est)]]-Project_List[[#This Row],[Anticipated Costs Unincombered]]</f>
        <v>-224263.04000000004</v>
      </c>
      <c r="AI103" s="5" t="s">
        <v>10</v>
      </c>
      <c r="AJ103" s="40"/>
      <c r="AK103" s="36" t="s">
        <v>10</v>
      </c>
      <c r="AL103" s="1">
        <v>1</v>
      </c>
    </row>
    <row r="104" spans="1:49" ht="30" x14ac:dyDescent="0.25">
      <c r="A104" s="1" t="s">
        <v>256</v>
      </c>
      <c r="B104" s="1">
        <v>87</v>
      </c>
      <c r="C104" s="28" t="str">
        <f>LOOKUP(Project_List[[#This Row],[Fund No.]],'Code Lookup'!A$9:A$53,'Code Lookup'!B$9:B$53)</f>
        <v>CDBG</v>
      </c>
      <c r="D104" s="1" t="s">
        <v>64</v>
      </c>
      <c r="E104" s="28" t="s">
        <v>55</v>
      </c>
      <c r="F104" s="1" t="s">
        <v>90</v>
      </c>
      <c r="G104" s="1" t="s">
        <v>343</v>
      </c>
      <c r="H104" s="32" t="s">
        <v>49</v>
      </c>
      <c r="I104" s="32">
        <v>560000</v>
      </c>
      <c r="J104" s="28">
        <v>64492</v>
      </c>
      <c r="K104" s="8" t="s">
        <v>0</v>
      </c>
      <c r="L104" s="21">
        <v>0</v>
      </c>
      <c r="M104" s="23">
        <v>0</v>
      </c>
      <c r="N104" s="1" t="s">
        <v>257</v>
      </c>
      <c r="O104" s="1" t="s">
        <v>257</v>
      </c>
      <c r="P104" s="37">
        <v>45792</v>
      </c>
      <c r="Q104" s="37">
        <v>45961</v>
      </c>
      <c r="R104" s="37" t="s">
        <v>273</v>
      </c>
      <c r="S104" s="37">
        <v>46022</v>
      </c>
      <c r="T104" s="32" t="s">
        <v>3</v>
      </c>
      <c r="U104" s="32" t="s">
        <v>0</v>
      </c>
      <c r="V104" s="1" t="s">
        <v>296</v>
      </c>
      <c r="W104" s="1" t="s">
        <v>13</v>
      </c>
      <c r="X104" s="28" t="s">
        <v>10</v>
      </c>
      <c r="Y104" s="13">
        <v>403563</v>
      </c>
      <c r="Z104" s="13">
        <v>346858.5</v>
      </c>
      <c r="AA104" s="13">
        <f>13475+17356.65</f>
        <v>30831.65</v>
      </c>
      <c r="AB104" s="76"/>
      <c r="AC104" s="14">
        <f>Project_List[[#This Row],[Bid Amount]]+Project_List[[#This Row],[Construction Change Orders]]</f>
        <v>377690.15</v>
      </c>
      <c r="AD104" s="14">
        <v>60000</v>
      </c>
      <c r="AE104" s="14"/>
      <c r="AF104" s="14">
        <f>Project_List[[#This Row],[Professional Service Agreement (PSA) Amount]]+Project_List[[#This Row],[Engineer''s Est]]+Project_List[[#This Row],[Estimated COA
Engineering / 
Admin]]</f>
        <v>463563</v>
      </c>
      <c r="AG104" s="14">
        <f>Project_List[[#This Row],[Professional Service Agreement (PSA) Amount]]+Project_List[[#This Row],[Final Construction Costs]]+Project_List[[#This Row],[Estimated COA
Engineering / 
Admin]]</f>
        <v>437690.15</v>
      </c>
      <c r="AH104" s="13">
        <f>Project_List[[#This Row],[Overall Budget]]-Project_List[[#This Row],[Total Anticipated Costs (PSA+Est+COA Est)]]-Project_List[[#This Row],[Anticipated Costs Unincombered]]</f>
        <v>96437</v>
      </c>
      <c r="AI104" s="1" t="s">
        <v>10</v>
      </c>
      <c r="AJ104" s="42"/>
      <c r="AK104" s="36" t="s">
        <v>10</v>
      </c>
      <c r="AL104" s="1">
        <v>1</v>
      </c>
    </row>
    <row r="105" spans="1:49" ht="30" x14ac:dyDescent="0.25">
      <c r="A105" s="1" t="s">
        <v>256</v>
      </c>
      <c r="B105" s="6">
        <v>384</v>
      </c>
      <c r="C105" s="27" t="str">
        <f>LOOKUP(Project_List[[#This Row],[Fund No.]],'Code Lookup'!A$9:A$53,'Code Lookup'!B$9:B$53)</f>
        <v>2023/24 GO Bonds</v>
      </c>
      <c r="D105" s="6" t="s">
        <v>30</v>
      </c>
      <c r="E105" s="29" t="s">
        <v>145</v>
      </c>
      <c r="F105" s="19" t="s">
        <v>63</v>
      </c>
      <c r="G105" s="1" t="s">
        <v>238</v>
      </c>
      <c r="H105" s="1" t="s">
        <v>49</v>
      </c>
      <c r="I105" s="32">
        <v>545412</v>
      </c>
      <c r="J105" s="28">
        <v>63110</v>
      </c>
      <c r="K105" s="1" t="s">
        <v>4</v>
      </c>
      <c r="L105" s="13">
        <v>0</v>
      </c>
      <c r="M105" s="13">
        <v>0</v>
      </c>
      <c r="N105" s="1" t="s">
        <v>256</v>
      </c>
      <c r="O105" s="1" t="s">
        <v>256</v>
      </c>
      <c r="P105" s="37">
        <v>45778</v>
      </c>
      <c r="Q105" s="37">
        <v>45961</v>
      </c>
      <c r="R105" s="37" t="s">
        <v>273</v>
      </c>
      <c r="S105" s="37">
        <v>46022</v>
      </c>
      <c r="T105" s="1" t="s">
        <v>11</v>
      </c>
      <c r="U105" s="1" t="s">
        <v>4</v>
      </c>
      <c r="V105" s="1" t="s">
        <v>12</v>
      </c>
      <c r="W105" s="1" t="s">
        <v>10</v>
      </c>
      <c r="X105" s="28" t="s">
        <v>10</v>
      </c>
      <c r="Y105" s="13">
        <v>303596.5</v>
      </c>
      <c r="Z105" s="13">
        <v>252647.9</v>
      </c>
      <c r="AA105" s="13">
        <v>-26991.68</v>
      </c>
      <c r="AB105" s="76"/>
      <c r="AC105" s="13">
        <v>273693.5</v>
      </c>
      <c r="AD105" s="13">
        <v>70000</v>
      </c>
      <c r="AE105" s="13"/>
      <c r="AF105" s="13">
        <f>Project_List[[#This Row],[Professional Service Agreement (PSA) Amount]]+Project_List[[#This Row],[Engineer''s Est]]+Project_List[[#This Row],[Estimated COA
Engineering / 
Admin]]</f>
        <v>373596.5</v>
      </c>
      <c r="AG105" s="13">
        <f>Project_List[[#This Row],[Professional Service Agreement (PSA) Amount]]+Project_List[[#This Row],[Final Construction Costs]]+Project_List[[#This Row],[Estimated COA
Engineering / 
Admin]]</f>
        <v>343693.5</v>
      </c>
      <c r="AH105" s="13">
        <f>Project_List[[#This Row],[Overall Budget]]-Project_List[[#This Row],[Total Anticipated Costs (PSA+Est+COA Est)]]-Project_List[[#This Row],[Anticipated Costs Unincombered]]</f>
        <v>171815.5</v>
      </c>
      <c r="AI105" s="89" t="s">
        <v>10</v>
      </c>
      <c r="AJ105" s="40">
        <v>0</v>
      </c>
      <c r="AK105" s="32" t="s">
        <v>10</v>
      </c>
      <c r="AL105" s="1">
        <v>0</v>
      </c>
    </row>
    <row r="106" spans="1:49" ht="30" x14ac:dyDescent="0.25">
      <c r="A106" s="1" t="s">
        <v>256</v>
      </c>
      <c r="B106" s="6">
        <v>384</v>
      </c>
      <c r="C106" s="27" t="str">
        <f>LOOKUP(Project_List[[#This Row],[Fund No.]],'Code Lookup'!A$9:A$53,'Code Lookup'!B$9:B$53)</f>
        <v>2023/24 GO Bonds</v>
      </c>
      <c r="D106" s="6" t="s">
        <v>30</v>
      </c>
      <c r="E106" s="29" t="s">
        <v>144</v>
      </c>
      <c r="F106" s="19" t="s">
        <v>60</v>
      </c>
      <c r="G106" s="1" t="s">
        <v>238</v>
      </c>
      <c r="H106" s="1" t="s">
        <v>49</v>
      </c>
      <c r="I106" s="32">
        <v>900000</v>
      </c>
      <c r="J106" s="28">
        <v>63110</v>
      </c>
      <c r="K106" s="1" t="s">
        <v>4</v>
      </c>
      <c r="L106" s="13">
        <v>0</v>
      </c>
      <c r="M106" s="13">
        <v>0</v>
      </c>
      <c r="N106" s="1" t="s">
        <v>256</v>
      </c>
      <c r="O106" s="1" t="s">
        <v>256</v>
      </c>
      <c r="P106" s="37">
        <v>45778</v>
      </c>
      <c r="Q106" s="37">
        <v>45961</v>
      </c>
      <c r="R106" s="37" t="s">
        <v>273</v>
      </c>
      <c r="S106" s="37">
        <v>46022</v>
      </c>
      <c r="T106" s="1" t="s">
        <v>11</v>
      </c>
      <c r="U106" s="1" t="s">
        <v>4</v>
      </c>
      <c r="V106" s="1" t="s">
        <v>12</v>
      </c>
      <c r="W106" s="1" t="s">
        <v>10</v>
      </c>
      <c r="X106" s="1" t="s">
        <v>10</v>
      </c>
      <c r="Y106" s="13">
        <v>807706.8</v>
      </c>
      <c r="Z106" s="13">
        <v>705695.1</v>
      </c>
      <c r="AA106" s="13">
        <f>230500-27011.2</f>
        <v>203488.8</v>
      </c>
      <c r="AB106" s="76"/>
      <c r="AC106" s="13">
        <v>871146.62</v>
      </c>
      <c r="AD106" s="13">
        <v>100000</v>
      </c>
      <c r="AE106" s="13"/>
      <c r="AF106" s="13">
        <f>Project_List[[#This Row],[Professional Service Agreement (PSA) Amount]]+Project_List[[#This Row],[Engineer''s Est]]+Project_List[[#This Row],[Estimated COA
Engineering / 
Admin]]</f>
        <v>907706.8</v>
      </c>
      <c r="AG106" s="13">
        <f>Project_List[[#This Row],[Professional Service Agreement (PSA) Amount]]+Project_List[[#This Row],[Final Construction Costs]]+Project_List[[#This Row],[Estimated COA
Engineering / 
Admin]]</f>
        <v>971146.62</v>
      </c>
      <c r="AH106" s="13">
        <f>Project_List[[#This Row],[Overall Budget]]-Project_List[[#This Row],[Total Anticipated Costs (PSA+Est+COA Est)]]-Project_List[[#This Row],[Anticipated Costs Unincombered]]</f>
        <v>-7706.8000000000466</v>
      </c>
      <c r="AI106" s="1" t="s">
        <v>10</v>
      </c>
      <c r="AJ106" s="40">
        <v>102396</v>
      </c>
      <c r="AK106" s="32" t="s">
        <v>10</v>
      </c>
      <c r="AL106" s="1">
        <v>0</v>
      </c>
    </row>
    <row r="107" spans="1:49" ht="30" x14ac:dyDescent="0.25">
      <c r="A107" s="1" t="s">
        <v>256</v>
      </c>
      <c r="B107" s="1">
        <v>520</v>
      </c>
      <c r="C107" s="27" t="str">
        <f>LOOKUP(Project_List[[#This Row],[Fund No.]],'Code Lookup'!A$9:A$53,'Code Lookup'!B$9:B$53)</f>
        <v>Sewer Utility</v>
      </c>
      <c r="D107" s="1" t="s">
        <v>322</v>
      </c>
      <c r="E107" s="28" t="s">
        <v>67</v>
      </c>
      <c r="F107" s="18" t="s">
        <v>133</v>
      </c>
      <c r="G107" s="46" t="s">
        <v>205</v>
      </c>
      <c r="H107" s="1" t="s">
        <v>49</v>
      </c>
      <c r="I107" s="32">
        <v>27000</v>
      </c>
      <c r="J107" s="28">
        <v>62905</v>
      </c>
      <c r="K107" s="2" t="s">
        <v>4</v>
      </c>
      <c r="L107" s="12">
        <v>0</v>
      </c>
      <c r="M107" s="13">
        <v>0</v>
      </c>
      <c r="N107" s="1" t="s">
        <v>256</v>
      </c>
      <c r="O107" s="1" t="s">
        <v>256</v>
      </c>
      <c r="P107" s="37">
        <v>45566</v>
      </c>
      <c r="Q107" s="37">
        <v>45965</v>
      </c>
      <c r="R107" s="37" t="s">
        <v>273</v>
      </c>
      <c r="S107" s="37">
        <v>46022</v>
      </c>
      <c r="T107" s="1" t="s">
        <v>11</v>
      </c>
      <c r="U107" s="1" t="s">
        <v>4</v>
      </c>
      <c r="V107" s="1" t="s">
        <v>12</v>
      </c>
      <c r="W107" s="1" t="s">
        <v>10</v>
      </c>
      <c r="X107" s="28" t="s">
        <v>10</v>
      </c>
      <c r="Y107" s="13">
        <v>19500</v>
      </c>
      <c r="Z107" s="13">
        <v>18000</v>
      </c>
      <c r="AA107" s="13">
        <v>9000</v>
      </c>
      <c r="AB107" s="76"/>
      <c r="AC107" s="13">
        <v>27000</v>
      </c>
      <c r="AD107" s="13"/>
      <c r="AE107" s="13"/>
      <c r="AF107" s="13">
        <f>Project_List[[#This Row],[Professional Service Agreement (PSA) Amount]]+Project_List[[#This Row],[Engineer''s Est]]+Project_List[[#This Row],[Estimated COA
Engineering / 
Admin]]</f>
        <v>19500</v>
      </c>
      <c r="AG107" s="13">
        <f>Project_List[[#This Row],[Professional Service Agreement (PSA) Amount]]+Project_List[[#This Row],[Final Construction Costs]]+Project_List[[#This Row],[Estimated COA
Engineering / 
Admin]]</f>
        <v>27000</v>
      </c>
      <c r="AH107" s="13">
        <f>Project_List[[#This Row],[Overall Budget]]-Project_List[[#This Row],[Total Anticipated Costs (PSA+Est+COA Est)]]-Project_List[[#This Row],[Anticipated Costs Unincombered]]</f>
        <v>7500</v>
      </c>
      <c r="AI107" s="1" t="s">
        <v>10</v>
      </c>
      <c r="AJ107" s="40">
        <v>0</v>
      </c>
      <c r="AK107" s="32" t="s">
        <v>10</v>
      </c>
      <c r="AL107" s="1">
        <v>0</v>
      </c>
    </row>
    <row r="108" spans="1:49" ht="30" x14ac:dyDescent="0.25">
      <c r="A108" s="1" t="s">
        <v>256</v>
      </c>
      <c r="B108" s="1">
        <v>510</v>
      </c>
      <c r="C108" s="27" t="str">
        <f>LOOKUP(Project_List[[#This Row],[Fund No.]],'Code Lookup'!A$9:A$53,'Code Lookup'!B$9:B$53)</f>
        <v>Water Utility</v>
      </c>
      <c r="D108" s="1" t="s">
        <v>64</v>
      </c>
      <c r="E108" s="28" t="s">
        <v>234</v>
      </c>
      <c r="F108" s="18" t="s">
        <v>90</v>
      </c>
      <c r="G108" s="1" t="s">
        <v>236</v>
      </c>
      <c r="H108" s="1" t="s">
        <v>48</v>
      </c>
      <c r="I108" s="32">
        <v>399800</v>
      </c>
      <c r="J108" s="28">
        <v>63042</v>
      </c>
      <c r="K108" s="1" t="s">
        <v>53</v>
      </c>
      <c r="L108" s="13">
        <v>0</v>
      </c>
      <c r="M108" s="13">
        <v>0</v>
      </c>
      <c r="N108" s="1" t="s">
        <v>256</v>
      </c>
      <c r="O108" s="1" t="s">
        <v>256</v>
      </c>
      <c r="P108" s="37">
        <v>45444</v>
      </c>
      <c r="Q108" s="37"/>
      <c r="R108" s="37" t="s">
        <v>273</v>
      </c>
      <c r="S108" s="37">
        <v>46022</v>
      </c>
      <c r="T108" s="1" t="s">
        <v>3</v>
      </c>
      <c r="U108" s="1" t="s">
        <v>0</v>
      </c>
      <c r="V108" s="1" t="s">
        <v>12</v>
      </c>
      <c r="W108" s="1" t="s">
        <v>10</v>
      </c>
      <c r="X108" s="1" t="s">
        <v>10</v>
      </c>
      <c r="Y108" s="13">
        <v>251815</v>
      </c>
      <c r="Z108" s="13">
        <v>340045</v>
      </c>
      <c r="AA108" s="13">
        <v>1911.17</v>
      </c>
      <c r="AB108" s="76"/>
      <c r="AC108" s="13"/>
      <c r="AD108" s="13"/>
      <c r="AE108" s="13"/>
      <c r="AF108" s="13">
        <f>Project_List[[#This Row],[Professional Service Agreement (PSA) Amount]]+Project_List[[#This Row],[Engineer''s Est]]+Project_List[[#This Row],[Estimated COA
Engineering / 
Admin]]</f>
        <v>251815</v>
      </c>
      <c r="AG108" s="13">
        <f>Project_List[[#This Row],[Professional Service Agreement (PSA) Amount]]+Project_List[[#This Row],[Final Construction Costs]]+Project_List[[#This Row],[Estimated COA
Engineering / 
Admin]]</f>
        <v>0</v>
      </c>
      <c r="AH108" s="13">
        <f>Project_List[[#This Row],[Overall Budget]]-Project_List[[#This Row],[Total Anticipated Costs (PSA+Est+COA Est)]]-Project_List[[#This Row],[Anticipated Costs Unincombered]]</f>
        <v>147985</v>
      </c>
      <c r="AI108" s="1" t="s">
        <v>10</v>
      </c>
      <c r="AJ108" s="40">
        <v>15889</v>
      </c>
      <c r="AK108" s="32" t="s">
        <v>10</v>
      </c>
      <c r="AL108" s="1">
        <v>0</v>
      </c>
    </row>
    <row r="109" spans="1:49" ht="30" x14ac:dyDescent="0.25">
      <c r="A109" s="1" t="s">
        <v>256</v>
      </c>
      <c r="B109" s="1">
        <v>384</v>
      </c>
      <c r="C109" s="27" t="str">
        <f>LOOKUP(Project_List[[#This Row],[Fund No.]],'Code Lookup'!A$9:A$53,'Code Lookup'!B$9:B$53)</f>
        <v>2023/24 GO Bonds</v>
      </c>
      <c r="D109" s="1" t="s">
        <v>30</v>
      </c>
      <c r="E109" s="28" t="s">
        <v>233</v>
      </c>
      <c r="F109" s="18" t="s">
        <v>320</v>
      </c>
      <c r="G109" s="1" t="s">
        <v>236</v>
      </c>
      <c r="H109" s="1" t="s">
        <v>48</v>
      </c>
      <c r="I109" s="32">
        <v>982837</v>
      </c>
      <c r="J109" s="28">
        <v>63042</v>
      </c>
      <c r="K109" s="1" t="s">
        <v>53</v>
      </c>
      <c r="L109" s="13">
        <v>101225</v>
      </c>
      <c r="M109" s="13"/>
      <c r="N109" s="1" t="s">
        <v>256</v>
      </c>
      <c r="O109" s="1" t="s">
        <v>256</v>
      </c>
      <c r="P109" s="37">
        <v>45444</v>
      </c>
      <c r="Q109" s="37"/>
      <c r="R109" s="37" t="s">
        <v>273</v>
      </c>
      <c r="S109" s="37">
        <v>46022</v>
      </c>
      <c r="T109" s="1" t="s">
        <v>3</v>
      </c>
      <c r="U109" s="1" t="s">
        <v>0</v>
      </c>
      <c r="V109" s="1" t="s">
        <v>12</v>
      </c>
      <c r="W109" s="1" t="s">
        <v>10</v>
      </c>
      <c r="X109" s="28" t="s">
        <v>10</v>
      </c>
      <c r="Y109" s="13">
        <v>847792.4</v>
      </c>
      <c r="Z109" s="13">
        <v>789902</v>
      </c>
      <c r="AA109" s="13">
        <f>-185000+3139.74</f>
        <v>-181860.26</v>
      </c>
      <c r="AB109" s="76"/>
      <c r="AC109" s="13"/>
      <c r="AD109" s="13">
        <v>100000</v>
      </c>
      <c r="AE109" s="13"/>
      <c r="AF109" s="13">
        <f>Project_List[[#This Row],[Professional Service Agreement (PSA) Amount]]+Project_List[[#This Row],[Engineer''s Est]]+Project_List[[#This Row],[Estimated COA
Engineering / 
Admin]]</f>
        <v>1049017.3999999999</v>
      </c>
      <c r="AG109" s="13">
        <f>Project_List[[#This Row],[Professional Service Agreement (PSA) Amount]]+Project_List[[#This Row],[Final Construction Costs]]+Project_List[[#This Row],[Estimated COA
Engineering / 
Admin]]</f>
        <v>201225</v>
      </c>
      <c r="AH109" s="13">
        <f>Project_List[[#This Row],[Overall Budget]]-Project_List[[#This Row],[Total Anticipated Costs (PSA+Est+COA Est)]]-Project_List[[#This Row],[Anticipated Costs Unincombered]]</f>
        <v>-66180.399999999907</v>
      </c>
      <c r="AI109" s="1" t="s">
        <v>10</v>
      </c>
      <c r="AJ109" s="40">
        <v>117627</v>
      </c>
      <c r="AK109" s="32" t="s">
        <v>10</v>
      </c>
      <c r="AL109" s="1">
        <v>0</v>
      </c>
    </row>
    <row r="110" spans="1:49" ht="60" x14ac:dyDescent="0.25">
      <c r="A110" s="1" t="s">
        <v>256</v>
      </c>
      <c r="B110" s="1">
        <v>520</v>
      </c>
      <c r="C110" s="27" t="str">
        <f>LOOKUP(Project_List[[#This Row],[Fund No.]],'Code Lookup'!A$9:A$53,'Code Lookup'!B$9:B$53)</f>
        <v>Sewer Utility</v>
      </c>
      <c r="D110" s="1" t="s">
        <v>322</v>
      </c>
      <c r="E110" s="28" t="s">
        <v>67</v>
      </c>
      <c r="F110" s="18" t="s">
        <v>133</v>
      </c>
      <c r="G110" s="1" t="s">
        <v>239</v>
      </c>
      <c r="H110" s="1" t="s">
        <v>49</v>
      </c>
      <c r="I110" s="32">
        <v>184224</v>
      </c>
      <c r="J110" s="28">
        <v>62893</v>
      </c>
      <c r="K110" s="1" t="s">
        <v>4</v>
      </c>
      <c r="L110" s="13">
        <v>0</v>
      </c>
      <c r="M110" s="13">
        <v>0</v>
      </c>
      <c r="N110" s="1" t="s">
        <v>256</v>
      </c>
      <c r="O110" s="1" t="s">
        <v>256</v>
      </c>
      <c r="P110" s="37">
        <v>45413</v>
      </c>
      <c r="Q110" s="37">
        <v>45808</v>
      </c>
      <c r="R110" s="37" t="s">
        <v>273</v>
      </c>
      <c r="S110" s="37">
        <v>46022</v>
      </c>
      <c r="T110" s="1" t="s">
        <v>14</v>
      </c>
      <c r="U110" s="1" t="s">
        <v>4</v>
      </c>
      <c r="V110" s="1" t="s">
        <v>18</v>
      </c>
      <c r="W110" s="1" t="s">
        <v>10</v>
      </c>
      <c r="X110" s="1" t="s">
        <v>10</v>
      </c>
      <c r="Y110" s="13">
        <v>202700</v>
      </c>
      <c r="Z110" s="13">
        <v>171462.6</v>
      </c>
      <c r="AA110" s="13"/>
      <c r="AB110" s="76"/>
      <c r="AC110" s="13">
        <v>184223.1</v>
      </c>
      <c r="AD110" s="13">
        <v>25000</v>
      </c>
      <c r="AE110" s="13"/>
      <c r="AF110" s="13">
        <f>Project_List[[#This Row],[Professional Service Agreement (PSA) Amount]]+Project_List[[#This Row],[Engineer''s Est]]+Project_List[[#This Row],[Estimated COA
Engineering / 
Admin]]</f>
        <v>227700</v>
      </c>
      <c r="AG110" s="13">
        <f>Project_List[[#This Row],[Professional Service Agreement (PSA) Amount]]+Project_List[[#This Row],[Final Construction Costs]]+Project_List[[#This Row],[Estimated COA
Engineering / 
Admin]]</f>
        <v>209223.1</v>
      </c>
      <c r="AH110" s="13">
        <f>Project_List[[#This Row],[Overall Budget]]-Project_List[[#This Row],[Total Anticipated Costs (PSA+Est+COA Est)]]-Project_List[[#This Row],[Anticipated Costs Unincombered]]</f>
        <v>-43476</v>
      </c>
      <c r="AI110" s="1" t="s">
        <v>10</v>
      </c>
      <c r="AJ110" s="40"/>
      <c r="AK110" s="36" t="s">
        <v>10</v>
      </c>
      <c r="AL110" s="1">
        <v>0</v>
      </c>
    </row>
    <row r="111" spans="1:49" ht="51.75" x14ac:dyDescent="0.25">
      <c r="A111" s="1" t="s">
        <v>256</v>
      </c>
      <c r="B111" s="1">
        <v>520</v>
      </c>
      <c r="C111" s="27" t="str">
        <f>LOOKUP(Project_List[[#This Row],[Fund No.]],'Code Lookup'!A$9:A$53,'Code Lookup'!B$9:B$53)</f>
        <v>Sewer Utility</v>
      </c>
      <c r="D111" s="1" t="s">
        <v>322</v>
      </c>
      <c r="E111" s="28" t="s">
        <v>67</v>
      </c>
      <c r="F111" s="18" t="s">
        <v>133</v>
      </c>
      <c r="G111" s="46" t="s">
        <v>342</v>
      </c>
      <c r="H111" s="46" t="s">
        <v>49</v>
      </c>
      <c r="I111" s="47"/>
      <c r="J111" s="72">
        <v>62892</v>
      </c>
      <c r="K111" s="1" t="s">
        <v>4</v>
      </c>
      <c r="L111" s="13">
        <v>0</v>
      </c>
      <c r="M111" s="13">
        <v>0</v>
      </c>
      <c r="N111" s="1" t="s">
        <v>256</v>
      </c>
      <c r="O111" s="1" t="s">
        <v>256</v>
      </c>
      <c r="P111" s="37">
        <v>45413</v>
      </c>
      <c r="Q111" s="37">
        <v>45747</v>
      </c>
      <c r="R111" s="37" t="s">
        <v>257</v>
      </c>
      <c r="S111" s="37">
        <v>46022</v>
      </c>
      <c r="T111" s="1" t="s">
        <v>7</v>
      </c>
      <c r="U111" s="1" t="s">
        <v>4</v>
      </c>
      <c r="V111" s="1" t="s">
        <v>18</v>
      </c>
      <c r="W111" s="1" t="s">
        <v>10</v>
      </c>
      <c r="X111" s="28" t="s">
        <v>10</v>
      </c>
      <c r="Y111" s="13">
        <v>91000</v>
      </c>
      <c r="Z111" s="13">
        <v>147266</v>
      </c>
      <c r="AA111" s="13"/>
      <c r="AB111" s="76"/>
      <c r="AC111" s="13">
        <v>147266</v>
      </c>
      <c r="AD111" s="13"/>
      <c r="AE111" s="13"/>
      <c r="AF111" s="13">
        <f>Project_List[[#This Row],[Professional Service Agreement (PSA) Amount]]+Project_List[[#This Row],[Engineer''s Est]]+Project_List[[#This Row],[Estimated COA
Engineering / 
Admin]]</f>
        <v>91000</v>
      </c>
      <c r="AG111" s="13">
        <f>Project_List[[#This Row],[Professional Service Agreement (PSA) Amount]]+Project_List[[#This Row],[Final Construction Costs]]+Project_List[[#This Row],[Estimated COA
Engineering / 
Admin]]</f>
        <v>147266</v>
      </c>
      <c r="AH111" s="13">
        <f>Project_List[[#This Row],[Overall Budget]]-Project_List[[#This Row],[Total Anticipated Costs (PSA+Est+COA Est)]]-Project_List[[#This Row],[Anticipated Costs Unincombered]]</f>
        <v>-91000</v>
      </c>
      <c r="AI111" s="1" t="s">
        <v>10</v>
      </c>
      <c r="AJ111" s="40"/>
      <c r="AK111" s="36" t="s">
        <v>10</v>
      </c>
      <c r="AL111" s="1">
        <v>1</v>
      </c>
    </row>
    <row r="112" spans="1:49" ht="30" x14ac:dyDescent="0.25">
      <c r="A112" s="1" t="s">
        <v>256</v>
      </c>
      <c r="B112" s="1">
        <v>520</v>
      </c>
      <c r="C112" s="27" t="str">
        <f>LOOKUP(Project_List[[#This Row],[Fund No.]],'Code Lookup'!A$9:A$53,'Code Lookup'!B$9:B$53)</f>
        <v>Sewer Utility</v>
      </c>
      <c r="D112" s="1" t="s">
        <v>322</v>
      </c>
      <c r="E112" s="28" t="s">
        <v>67</v>
      </c>
      <c r="F112" s="41" t="s">
        <v>133</v>
      </c>
      <c r="G112" s="1" t="s">
        <v>412</v>
      </c>
      <c r="H112" s="32" t="s">
        <v>36</v>
      </c>
      <c r="J112" s="28"/>
      <c r="K112" s="8" t="s">
        <v>16</v>
      </c>
      <c r="L112" s="12">
        <f>4500</f>
        <v>4500</v>
      </c>
      <c r="M112" s="12">
        <f>4500</f>
        <v>4500</v>
      </c>
      <c r="N112" s="1" t="s">
        <v>257</v>
      </c>
      <c r="O112" s="1" t="s">
        <v>257</v>
      </c>
      <c r="P112" s="37"/>
      <c r="Q112" s="37"/>
      <c r="R112" s="37" t="s">
        <v>273</v>
      </c>
      <c r="S112" s="37"/>
      <c r="T112" s="1" t="s">
        <v>16</v>
      </c>
      <c r="U112" s="32" t="s">
        <v>0</v>
      </c>
      <c r="V112" s="32"/>
      <c r="X112" s="1" t="s">
        <v>10</v>
      </c>
      <c r="Y112" s="13"/>
      <c r="Z112" s="13"/>
      <c r="AA112" s="13"/>
      <c r="AB112" s="76"/>
      <c r="AC112" s="13"/>
      <c r="AD112" s="13"/>
      <c r="AE112" s="13"/>
      <c r="AF112" s="13">
        <f>Project_List[[#This Row],[Professional Service Agreement (PSA) Amount]]+Project_List[[#This Row],[Engineer''s Est]]+Project_List[[#This Row],[Estimated COA
Engineering / 
Admin]]</f>
        <v>4500</v>
      </c>
      <c r="AG112" s="13">
        <f>Project_List[[#This Row],[Professional Service Agreement (PSA) Amount]]+Project_List[[#This Row],[Final Construction Costs]]+Project_List[[#This Row],[Estimated COA
Engineering / 
Admin]]</f>
        <v>4500</v>
      </c>
      <c r="AH112" s="13">
        <f>Project_List[[#This Row],[Overall Budget]]-Project_List[[#This Row],[Total Anticipated Costs (PSA+Est+COA Est)]]-Project_List[[#This Row],[Anticipated Costs Unincombered]]</f>
        <v>-4500</v>
      </c>
      <c r="AI112" s="2"/>
      <c r="AJ112" s="31"/>
      <c r="AK112" s="36" t="s">
        <v>10</v>
      </c>
      <c r="AL112" s="1">
        <v>1</v>
      </c>
    </row>
    <row r="113" spans="1:38" ht="30" x14ac:dyDescent="0.25">
      <c r="A113" s="1" t="s">
        <v>256</v>
      </c>
      <c r="B113" s="1">
        <v>520</v>
      </c>
      <c r="C113" s="27" t="str">
        <f>LOOKUP(Project_List[[#This Row],[Fund No.]],'Code Lookup'!A$9:A$53,'Code Lookup'!B$9:B$53)</f>
        <v>Sewer Utility</v>
      </c>
      <c r="D113" s="1" t="s">
        <v>322</v>
      </c>
      <c r="E113" s="28" t="s">
        <v>67</v>
      </c>
      <c r="F113" s="41" t="s">
        <v>133</v>
      </c>
      <c r="G113" s="1" t="s">
        <v>412</v>
      </c>
      <c r="H113" s="32" t="s">
        <v>36</v>
      </c>
      <c r="J113" s="28"/>
      <c r="K113" s="8" t="s">
        <v>16</v>
      </c>
      <c r="L113" s="12">
        <v>20179.45</v>
      </c>
      <c r="M113" s="12">
        <v>20179.45</v>
      </c>
      <c r="N113" s="1" t="s">
        <v>257</v>
      </c>
      <c r="O113" s="1" t="s">
        <v>257</v>
      </c>
      <c r="P113" s="37"/>
      <c r="Q113" s="37"/>
      <c r="R113" s="37" t="s">
        <v>273</v>
      </c>
      <c r="S113" s="37"/>
      <c r="T113" s="1" t="s">
        <v>16</v>
      </c>
      <c r="U113" s="32" t="s">
        <v>0</v>
      </c>
      <c r="V113" s="32"/>
      <c r="X113" s="28" t="s">
        <v>10</v>
      </c>
      <c r="Y113" s="13"/>
      <c r="Z113" s="13"/>
      <c r="AA113" s="13"/>
      <c r="AB113" s="76"/>
      <c r="AC113" s="13"/>
      <c r="AD113" s="13"/>
      <c r="AE113" s="13"/>
      <c r="AF113" s="13">
        <f>Project_List[[#This Row],[Professional Service Agreement (PSA) Amount]]+Project_List[[#This Row],[Engineer''s Est]]+Project_List[[#This Row],[Estimated COA
Engineering / 
Admin]]</f>
        <v>20179.45</v>
      </c>
      <c r="AG113" s="13">
        <f>Project_List[[#This Row],[Professional Service Agreement (PSA) Amount]]+Project_List[[#This Row],[Final Construction Costs]]+Project_List[[#This Row],[Estimated COA
Engineering / 
Admin]]</f>
        <v>20179.45</v>
      </c>
      <c r="AH113" s="13">
        <f>Project_List[[#This Row],[Overall Budget]]-Project_List[[#This Row],[Total Anticipated Costs (PSA+Est+COA Est)]]-Project_List[[#This Row],[Anticipated Costs Unincombered]]</f>
        <v>-20179.45</v>
      </c>
      <c r="AI113" s="2"/>
      <c r="AJ113" s="31"/>
      <c r="AK113" s="36" t="s">
        <v>10</v>
      </c>
      <c r="AL113" s="1">
        <v>0</v>
      </c>
    </row>
    <row r="114" spans="1:38" ht="30" x14ac:dyDescent="0.25">
      <c r="A114" s="1" t="s">
        <v>256</v>
      </c>
      <c r="B114" s="1">
        <v>520</v>
      </c>
      <c r="C114" s="27" t="str">
        <f>LOOKUP(Project_List[[#This Row],[Fund No.]],'Code Lookup'!A$9:A$53,'Code Lookup'!B$9:B$53)</f>
        <v>Sewer Utility</v>
      </c>
      <c r="D114" s="1" t="s">
        <v>322</v>
      </c>
      <c r="E114" s="28" t="s">
        <v>67</v>
      </c>
      <c r="F114" s="18" t="s">
        <v>133</v>
      </c>
      <c r="G114" s="1" t="s">
        <v>238</v>
      </c>
      <c r="H114" s="1" t="s">
        <v>49</v>
      </c>
      <c r="I114" s="32">
        <v>58000</v>
      </c>
      <c r="J114" s="28">
        <v>63110</v>
      </c>
      <c r="K114" s="1" t="s">
        <v>4</v>
      </c>
      <c r="L114" s="13">
        <v>0</v>
      </c>
      <c r="M114" s="13">
        <v>0</v>
      </c>
      <c r="N114" s="1" t="s">
        <v>256</v>
      </c>
      <c r="O114" s="1" t="s">
        <v>256</v>
      </c>
      <c r="P114" s="37">
        <v>45778</v>
      </c>
      <c r="Q114" s="37">
        <v>45961</v>
      </c>
      <c r="R114" s="37" t="s">
        <v>273</v>
      </c>
      <c r="S114" s="37">
        <v>46022</v>
      </c>
      <c r="T114" s="1" t="s">
        <v>11</v>
      </c>
      <c r="U114" s="1" t="s">
        <v>4</v>
      </c>
      <c r="V114" s="1" t="s">
        <v>12</v>
      </c>
      <c r="W114" s="1" t="s">
        <v>10</v>
      </c>
      <c r="X114" s="1" t="s">
        <v>10</v>
      </c>
      <c r="Y114" s="13">
        <v>54000</v>
      </c>
      <c r="Z114" s="13">
        <v>57100</v>
      </c>
      <c r="AA114" s="13"/>
      <c r="AB114" s="76"/>
      <c r="AC114" s="13">
        <v>47100</v>
      </c>
      <c r="AD114" s="13"/>
      <c r="AE114" s="13"/>
      <c r="AF114" s="13">
        <f>Project_List[[#This Row],[Professional Service Agreement (PSA) Amount]]+Project_List[[#This Row],[Engineer''s Est]]+Project_List[[#This Row],[Estimated COA
Engineering / 
Admin]]</f>
        <v>54000</v>
      </c>
      <c r="AG114" s="13">
        <f>Project_List[[#This Row],[Professional Service Agreement (PSA) Amount]]+Project_List[[#This Row],[Final Construction Costs]]+Project_List[[#This Row],[Estimated COA
Engineering / 
Admin]]</f>
        <v>47100</v>
      </c>
      <c r="AH114" s="13">
        <f>Project_List[[#This Row],[Overall Budget]]-Project_List[[#This Row],[Total Anticipated Costs (PSA+Est+COA Est)]]-Project_List[[#This Row],[Anticipated Costs Unincombered]]</f>
        <v>4000</v>
      </c>
      <c r="AI114" s="1" t="s">
        <v>10</v>
      </c>
      <c r="AJ114" s="40">
        <v>261006</v>
      </c>
      <c r="AK114" s="32" t="s">
        <v>10</v>
      </c>
      <c r="AL114" s="1">
        <v>1</v>
      </c>
    </row>
    <row r="115" spans="1:38" ht="45" x14ac:dyDescent="0.25">
      <c r="A115" s="2" t="s">
        <v>256</v>
      </c>
      <c r="B115" s="2">
        <v>560</v>
      </c>
      <c r="C115" s="27" t="str">
        <f>LOOKUP(Project_List[[#This Row],[Fund No.]],'Code Lookup'!A$9:A$53,'Code Lookup'!B$9:B$53)</f>
        <v>Stormwater Utility</v>
      </c>
      <c r="D115" s="2" t="s">
        <v>68</v>
      </c>
      <c r="E115" s="27" t="s">
        <v>306</v>
      </c>
      <c r="F115" s="2" t="s">
        <v>202</v>
      </c>
      <c r="G115" s="2" t="s">
        <v>361</v>
      </c>
      <c r="H115" s="8" t="s">
        <v>49</v>
      </c>
      <c r="I115" s="8">
        <v>250000</v>
      </c>
      <c r="J115" s="27">
        <v>64372</v>
      </c>
      <c r="K115" s="8" t="s">
        <v>16</v>
      </c>
      <c r="L115" s="21">
        <v>32800</v>
      </c>
      <c r="M115" s="21">
        <v>32800</v>
      </c>
      <c r="N115" s="2" t="s">
        <v>257</v>
      </c>
      <c r="O115" s="2" t="s">
        <v>257</v>
      </c>
      <c r="P115" s="44">
        <v>45731</v>
      </c>
      <c r="Q115" s="44">
        <v>45961</v>
      </c>
      <c r="R115" s="44" t="s">
        <v>273</v>
      </c>
      <c r="S115" s="44">
        <v>46022</v>
      </c>
      <c r="T115" s="8" t="s">
        <v>2</v>
      </c>
      <c r="U115" s="8" t="s">
        <v>0</v>
      </c>
      <c r="V115" s="2" t="s">
        <v>497</v>
      </c>
      <c r="W115" s="2" t="s">
        <v>10</v>
      </c>
      <c r="X115" s="27" t="s">
        <v>10</v>
      </c>
      <c r="Y115" s="12">
        <v>179780</v>
      </c>
      <c r="Z115" s="12">
        <v>95143.17</v>
      </c>
      <c r="AA115" s="12">
        <f>4120+14893.46</f>
        <v>19013.46</v>
      </c>
      <c r="AB115" s="77"/>
      <c r="AC115" s="12">
        <f>Project_List[[#This Row],[Bid Amount]]+Project_List[[#This Row],[Construction Change Orders]]</f>
        <v>114156.63</v>
      </c>
      <c r="AD115" s="12">
        <v>20000</v>
      </c>
      <c r="AE115" s="12"/>
      <c r="AF115" s="12">
        <f>Project_List[[#This Row],[Professional Service Agreement (PSA) Amount]]+Project_List[[#This Row],[Engineer''s Est]]+Project_List[[#This Row],[Estimated COA
Engineering / 
Admin]]</f>
        <v>232580</v>
      </c>
      <c r="AG115" s="12">
        <f>Project_List[[#This Row],[Professional Service Agreement (PSA) Amount]]+Project_List[[#This Row],[Final Construction Costs]]+Project_List[[#This Row],[Estimated COA
Engineering / 
Admin]]</f>
        <v>166956.63</v>
      </c>
      <c r="AH115" s="12">
        <f>Project_List[[#This Row],[Overall Budget]]-Project_List[[#This Row],[Total Anticipated Costs (PSA+Est+COA Est)]]-Project_List[[#This Row],[Anticipated Costs Unincombered]]</f>
        <v>17420</v>
      </c>
      <c r="AI115" s="2"/>
      <c r="AJ115" s="31">
        <v>0</v>
      </c>
      <c r="AK115" s="8" t="s">
        <v>10</v>
      </c>
      <c r="AL115" s="1">
        <v>1</v>
      </c>
    </row>
    <row r="116" spans="1:38" ht="30" x14ac:dyDescent="0.25">
      <c r="A116" s="1" t="s">
        <v>256</v>
      </c>
      <c r="B116" s="1">
        <v>560</v>
      </c>
      <c r="C116" s="28" t="str">
        <f>LOOKUP(Project_List[[#This Row],[Fund No.]],'Code Lookup'!A$9:A$53,'Code Lookup'!B$9:B$53)</f>
        <v>Stormwater Utility</v>
      </c>
      <c r="D116" s="1" t="s">
        <v>68</v>
      </c>
      <c r="E116" s="28" t="s">
        <v>306</v>
      </c>
      <c r="F116" s="1" t="s">
        <v>202</v>
      </c>
      <c r="G116" s="1" t="s">
        <v>536</v>
      </c>
      <c r="H116" s="32" t="s">
        <v>36</v>
      </c>
      <c r="I116" s="32">
        <f>850000-250000</f>
        <v>600000</v>
      </c>
      <c r="J116" s="28"/>
      <c r="K116" s="8" t="s">
        <v>16</v>
      </c>
      <c r="L116" s="21">
        <v>29400</v>
      </c>
      <c r="M116" s="23"/>
      <c r="N116" s="1" t="s">
        <v>273</v>
      </c>
      <c r="O116" s="1" t="s">
        <v>273</v>
      </c>
      <c r="P116" s="37"/>
      <c r="Q116" s="37"/>
      <c r="R116" s="37" t="s">
        <v>273</v>
      </c>
      <c r="S116" s="37"/>
      <c r="X116" s="1" t="s">
        <v>10</v>
      </c>
      <c r="Y116" s="13"/>
      <c r="Z116" s="13"/>
      <c r="AA116" s="13"/>
      <c r="AB116" s="76"/>
      <c r="AC116" s="14"/>
      <c r="AD116" s="14"/>
      <c r="AE116" s="14"/>
      <c r="AF116" s="14">
        <f>Project_List[[#This Row],[Professional Service Agreement (PSA) Amount]]+Project_List[[#This Row],[Engineer''s Est]]+Project_List[[#This Row],[Estimated COA
Engineering / 
Admin]]</f>
        <v>29400</v>
      </c>
      <c r="AG116" s="13">
        <f>Project_List[[#This Row],[Professional Service Agreement (PSA) Amount]]+Project_List[[#This Row],[Final Construction Costs]]+Project_List[[#This Row],[Estimated COA
Engineering / 
Admin]]</f>
        <v>29400</v>
      </c>
      <c r="AH116" s="13">
        <f>Project_List[[#This Row],[Overall Budget]]-Project_List[[#This Row],[Total Anticipated Costs (PSA+Est+COA Est)]]-Project_List[[#This Row],[Anticipated Costs Unincombered]]</f>
        <v>570600</v>
      </c>
      <c r="AI116" s="2"/>
      <c r="AJ116" s="42">
        <v>680350</v>
      </c>
      <c r="AK116" s="36" t="s">
        <v>10</v>
      </c>
      <c r="AL116" s="1">
        <v>1</v>
      </c>
    </row>
    <row r="117" spans="1:38" ht="45" x14ac:dyDescent="0.25">
      <c r="A117" s="1" t="s">
        <v>256</v>
      </c>
      <c r="B117" s="1">
        <v>522</v>
      </c>
      <c r="C117" s="27" t="str">
        <f>LOOKUP(Project_List[[#This Row],[Fund No.]],'Code Lookup'!A$9:A$53,'Code Lookup'!B$9:B$53)</f>
        <v>Sewer Improvements (SRF)</v>
      </c>
      <c r="D117" s="1" t="s">
        <v>322</v>
      </c>
      <c r="E117" s="28" t="s">
        <v>225</v>
      </c>
      <c r="F117" s="41" t="s">
        <v>133</v>
      </c>
      <c r="G117" s="1" t="s">
        <v>412</v>
      </c>
      <c r="H117" s="32" t="s">
        <v>36</v>
      </c>
      <c r="I117" s="32">
        <v>7500000</v>
      </c>
      <c r="J117" s="28"/>
      <c r="K117" s="8" t="s">
        <v>16</v>
      </c>
      <c r="L117" s="12">
        <v>272000</v>
      </c>
      <c r="M117" s="12">
        <v>307563.19</v>
      </c>
      <c r="N117" s="1" t="s">
        <v>257</v>
      </c>
      <c r="O117" s="1" t="s">
        <v>257</v>
      </c>
      <c r="P117" s="37"/>
      <c r="Q117" s="37"/>
      <c r="R117" s="37" t="s">
        <v>273</v>
      </c>
      <c r="S117" s="37"/>
      <c r="T117" s="1" t="s">
        <v>16</v>
      </c>
      <c r="U117" s="32" t="s">
        <v>0</v>
      </c>
      <c r="V117" s="32"/>
      <c r="X117" s="28" t="s">
        <v>10</v>
      </c>
      <c r="Y117" s="13"/>
      <c r="Z117" s="13"/>
      <c r="AA117" s="13"/>
      <c r="AB117" s="76"/>
      <c r="AC117" s="13"/>
      <c r="AD117" s="13"/>
      <c r="AE117" s="13"/>
      <c r="AF117" s="13">
        <f>Project_List[[#This Row],[Professional Service Agreement (PSA) Amount]]+Project_List[[#This Row],[Engineer''s Est]]+Project_List[[#This Row],[Estimated COA
Engineering / 
Admin]]</f>
        <v>272000</v>
      </c>
      <c r="AG117" s="13">
        <f>Project_List[[#This Row],[Professional Service Agreement (PSA) Amount]]+Project_List[[#This Row],[Final Construction Costs]]+Project_List[[#This Row],[Estimated COA
Engineering / 
Admin]]</f>
        <v>272000</v>
      </c>
      <c r="AH117" s="13">
        <f>Project_List[[#This Row],[Overall Budget]]-Project_List[[#This Row],[Total Anticipated Costs (PSA+Est+COA Est)]]-Project_List[[#This Row],[Anticipated Costs Unincombered]]</f>
        <v>7228000</v>
      </c>
      <c r="AI117" s="2" t="s">
        <v>10</v>
      </c>
      <c r="AJ117" s="31">
        <f>4097404+416961+1038762</f>
        <v>5553127</v>
      </c>
      <c r="AK117" s="36" t="s">
        <v>10</v>
      </c>
      <c r="AL117" s="1">
        <v>0</v>
      </c>
    </row>
    <row r="118" spans="1:38" ht="30" x14ac:dyDescent="0.25">
      <c r="A118" s="1" t="s">
        <v>257</v>
      </c>
      <c r="B118" s="1">
        <v>122</v>
      </c>
      <c r="C118" s="27" t="str">
        <f>LOOKUP(Project_List[[#This Row],[Fund No.]],'Code Lookup'!A$9:A$53,'Code Lookup'!B$9:B$53)</f>
        <v>American Rescue Plan</v>
      </c>
      <c r="D118" s="1" t="s">
        <v>322</v>
      </c>
      <c r="E118" s="28" t="s">
        <v>378</v>
      </c>
      <c r="F118" s="1" t="s">
        <v>22</v>
      </c>
      <c r="G118" s="1" t="s">
        <v>143</v>
      </c>
      <c r="H118" s="1" t="s">
        <v>49</v>
      </c>
      <c r="I118" s="36">
        <v>2336904</v>
      </c>
      <c r="J118" s="28">
        <v>64118</v>
      </c>
      <c r="K118" s="2" t="s">
        <v>16</v>
      </c>
      <c r="L118" s="22">
        <v>273000</v>
      </c>
      <c r="M118" s="22"/>
      <c r="N118" s="1" t="s">
        <v>257</v>
      </c>
      <c r="O118" s="1" t="s">
        <v>257</v>
      </c>
      <c r="P118" s="37">
        <v>45677</v>
      </c>
      <c r="Q118" s="37">
        <v>45961</v>
      </c>
      <c r="R118" s="37" t="s">
        <v>257</v>
      </c>
      <c r="S118" s="37">
        <v>46022</v>
      </c>
      <c r="T118" s="1" t="s">
        <v>16</v>
      </c>
      <c r="U118" s="1" t="s">
        <v>0</v>
      </c>
      <c r="V118" s="1" t="s">
        <v>337</v>
      </c>
      <c r="W118" s="1" t="s">
        <v>10</v>
      </c>
      <c r="X118" s="1" t="s">
        <v>10</v>
      </c>
      <c r="Y118" s="13">
        <v>3098434</v>
      </c>
      <c r="Z118" s="13">
        <v>2036000</v>
      </c>
      <c r="AA118" s="13"/>
      <c r="AB118" s="76"/>
      <c r="AC118" s="14"/>
      <c r="AD118" s="14">
        <v>305000</v>
      </c>
      <c r="AE118" s="14"/>
      <c r="AF118" s="14">
        <f>Project_List[[#This Row],[Professional Service Agreement (PSA) Amount]]+Project_List[[#This Row],[Engineer''s Est]]+Project_List[[#This Row],[Estimated COA
Engineering / 
Admin]]</f>
        <v>3676434</v>
      </c>
      <c r="AG118" s="13">
        <f>Project_List[[#This Row],[Professional Service Agreement (PSA) Amount]]+Project_List[[#This Row],[Final Construction Costs]]+Project_List[[#This Row],[Estimated COA
Engineering / 
Admin]]</f>
        <v>578000</v>
      </c>
      <c r="AH118" s="13">
        <f>Project_List[[#This Row],[Overall Budget]]-Project_List[[#This Row],[Total Anticipated Costs (PSA+Est+COA Est)]]-Project_List[[#This Row],[Anticipated Costs Unincombered]]</f>
        <v>-1339530</v>
      </c>
      <c r="AI118" s="1" t="s">
        <v>10</v>
      </c>
      <c r="AJ118" s="42">
        <f>86174-60000</f>
        <v>26174</v>
      </c>
      <c r="AK118" s="36" t="s">
        <v>10</v>
      </c>
      <c r="AL118" s="1">
        <v>1</v>
      </c>
    </row>
    <row r="119" spans="1:38" x14ac:dyDescent="0.25">
      <c r="A119" s="1" t="s">
        <v>257</v>
      </c>
      <c r="B119" s="1">
        <v>560</v>
      </c>
      <c r="C119" s="28" t="str">
        <f>LOOKUP(Project_List[[#This Row],[Fund No.]],'Code Lookup'!A$9:A$53,'Code Lookup'!B$9:B$53)</f>
        <v>Stormwater Utility</v>
      </c>
      <c r="D119" s="1" t="s">
        <v>68</v>
      </c>
      <c r="E119" s="28" t="s">
        <v>440</v>
      </c>
      <c r="F119" s="1" t="s">
        <v>270</v>
      </c>
      <c r="G119" s="1" t="s">
        <v>271</v>
      </c>
      <c r="H119" s="32" t="s">
        <v>48</v>
      </c>
      <c r="I119" s="32">
        <v>250000</v>
      </c>
      <c r="J119" s="28"/>
      <c r="K119" s="8" t="s">
        <v>240</v>
      </c>
      <c r="L119" s="21">
        <v>0</v>
      </c>
      <c r="M119" s="23">
        <v>0</v>
      </c>
      <c r="N119" s="1" t="s">
        <v>257</v>
      </c>
      <c r="O119" s="1" t="s">
        <v>257</v>
      </c>
      <c r="P119" s="37">
        <v>45825</v>
      </c>
      <c r="Q119" s="37"/>
      <c r="R119" s="37" t="s">
        <v>258</v>
      </c>
      <c r="S119" s="37" t="s">
        <v>404</v>
      </c>
      <c r="U119" s="32" t="s">
        <v>0</v>
      </c>
      <c r="V119" s="1" t="s">
        <v>12</v>
      </c>
      <c r="W119" s="1" t="s">
        <v>13</v>
      </c>
      <c r="X119" s="28" t="s">
        <v>13</v>
      </c>
      <c r="Y119" s="13">
        <v>210731.5</v>
      </c>
      <c r="Z119" s="13">
        <v>196124</v>
      </c>
      <c r="AA119" s="13"/>
      <c r="AB119" s="76"/>
      <c r="AC119" s="13"/>
      <c r="AD119" s="13"/>
      <c r="AE119" s="13"/>
      <c r="AF119" s="13">
        <f>Project_List[[#This Row],[Professional Service Agreement (PSA) Amount]]+Project_List[[#This Row],[Engineer''s Est]]+Project_List[[#This Row],[Estimated COA
Engineering / 
Admin]]</f>
        <v>210731.5</v>
      </c>
      <c r="AG119" s="13">
        <f>Project_List[[#This Row],[Professional Service Agreement (PSA) Amount]]+Project_List[[#This Row],[Final Construction Costs]]+Project_List[[#This Row],[Estimated COA
Engineering / 
Admin]]</f>
        <v>0</v>
      </c>
      <c r="AH119" s="13">
        <f>Project_List[[#This Row],[Overall Budget]]-Project_List[[#This Row],[Total Anticipated Costs (PSA+Est+COA Est)]]-Project_List[[#This Row],[Anticipated Costs Unincombered]]</f>
        <v>39268.5</v>
      </c>
      <c r="AJ119" s="40"/>
      <c r="AK119" s="32" t="s">
        <v>13</v>
      </c>
      <c r="AL119" s="1">
        <v>0</v>
      </c>
    </row>
    <row r="120" spans="1:38" x14ac:dyDescent="0.25">
      <c r="A120" s="1" t="s">
        <v>257</v>
      </c>
      <c r="B120" s="1">
        <v>560</v>
      </c>
      <c r="C120" s="28" t="str">
        <f>LOOKUP(Project_List[[#This Row],[Fund No.]],'Code Lookup'!A$9:A$53,'Code Lookup'!B$9:B$53)</f>
        <v>Stormwater Utility</v>
      </c>
      <c r="D120" s="1" t="s">
        <v>68</v>
      </c>
      <c r="E120" s="28" t="s">
        <v>424</v>
      </c>
      <c r="F120" s="1" t="s">
        <v>417</v>
      </c>
      <c r="G120" s="1" t="s">
        <v>417</v>
      </c>
      <c r="H120" s="32" t="s">
        <v>169</v>
      </c>
      <c r="J120" s="28"/>
      <c r="K120" s="8" t="s">
        <v>4</v>
      </c>
      <c r="L120" s="21">
        <v>0</v>
      </c>
      <c r="M120" s="23">
        <v>0</v>
      </c>
      <c r="N120" s="1" t="s">
        <v>257</v>
      </c>
      <c r="O120" s="1" t="s">
        <v>257</v>
      </c>
      <c r="P120" s="37">
        <v>45474</v>
      </c>
      <c r="Q120" s="37"/>
      <c r="R120" s="37"/>
      <c r="S120" s="37"/>
      <c r="Y120" s="13"/>
      <c r="Z120" s="13"/>
      <c r="AA120" s="13"/>
      <c r="AB120" s="76"/>
      <c r="AC120" s="14"/>
      <c r="AD120" s="14">
        <f>0.1*228570</f>
        <v>22857</v>
      </c>
      <c r="AE120" s="14"/>
      <c r="AF120" s="14">
        <f>Project_List[[#This Row],[Professional Service Agreement (PSA) Amount]]+Project_List[[#This Row],[Engineer''s Est]]+Project_List[[#This Row],[Estimated COA
Engineering / 
Admin]]</f>
        <v>22857</v>
      </c>
      <c r="AG120" s="14">
        <f>Project_List[[#This Row],[Professional Service Agreement (PSA) Amount]]+Project_List[[#This Row],[Final Construction Costs]]+Project_List[[#This Row],[Estimated COA
Engineering / 
Admin]]</f>
        <v>22857</v>
      </c>
      <c r="AH120" s="13">
        <f>Project_List[[#This Row],[Overall Budget]]-Project_List[[#This Row],[Total Anticipated Costs (PSA+Est+COA Est)]]-Project_List[[#This Row],[Anticipated Costs Unincombered]]</f>
        <v>-22857</v>
      </c>
      <c r="AJ120" s="42">
        <v>278872</v>
      </c>
      <c r="AK120" s="36"/>
      <c r="AL120" s="1">
        <f>COUNTA(_xlfn.UNIQUE(Project_List[[#This Row],[Project Name]]))</f>
        <v>1</v>
      </c>
    </row>
    <row r="121" spans="1:38" ht="30" x14ac:dyDescent="0.25">
      <c r="A121" s="1" t="s">
        <v>257</v>
      </c>
      <c r="B121" s="1">
        <v>560</v>
      </c>
      <c r="C121" s="28" t="str">
        <f>LOOKUP(Project_List[[#This Row],[Fund No.]],'Code Lookup'!A$9:A$53,'Code Lookup'!B$9:B$53)</f>
        <v>Stormwater Utility</v>
      </c>
      <c r="D121" s="1" t="s">
        <v>68</v>
      </c>
      <c r="E121" s="28" t="s">
        <v>308</v>
      </c>
      <c r="F121" s="1" t="s">
        <v>309</v>
      </c>
      <c r="G121" s="1" t="s">
        <v>312</v>
      </c>
      <c r="H121" s="32" t="s">
        <v>211</v>
      </c>
      <c r="I121" s="32">
        <v>190961</v>
      </c>
      <c r="J121" s="28"/>
      <c r="K121" s="8"/>
      <c r="L121" s="21"/>
      <c r="M121" s="23"/>
      <c r="N121" s="1" t="s">
        <v>258</v>
      </c>
      <c r="O121" s="1" t="s">
        <v>258</v>
      </c>
      <c r="P121" s="37"/>
      <c r="Q121" s="37"/>
      <c r="R121" s="37" t="s">
        <v>278</v>
      </c>
      <c r="S121" s="37"/>
      <c r="X121" s="1" t="s">
        <v>10</v>
      </c>
      <c r="Y121" s="13"/>
      <c r="Z121" s="13"/>
      <c r="AA121" s="13"/>
      <c r="AB121" s="76"/>
      <c r="AC121" s="14"/>
      <c r="AD121" s="14"/>
      <c r="AE121" s="14"/>
      <c r="AF121" s="14">
        <f>Project_List[[#This Row],[Professional Service Agreement (PSA) Amount]]+Project_List[[#This Row],[Engineer''s Est]]+Project_List[[#This Row],[Estimated COA
Engineering / 
Admin]]</f>
        <v>0</v>
      </c>
      <c r="AG121" s="13">
        <f>Project_List[[#This Row],[Professional Service Agreement (PSA) Amount]]+Project_List[[#This Row],[Final Construction Costs]]+Project_List[[#This Row],[Estimated COA
Engineering / 
Admin]]</f>
        <v>0</v>
      </c>
      <c r="AH121" s="13">
        <f>Project_List[[#This Row],[Overall Budget]]-Project_List[[#This Row],[Total Anticipated Costs (PSA+Est+COA Est)]]-Project_List[[#This Row],[Anticipated Costs Unincombered]]</f>
        <v>190961</v>
      </c>
      <c r="AI121" s="2"/>
      <c r="AJ121" s="42">
        <v>173477</v>
      </c>
      <c r="AK121" s="36" t="s">
        <v>10</v>
      </c>
      <c r="AL121" s="1">
        <v>1</v>
      </c>
    </row>
    <row r="122" spans="1:38" ht="30" x14ac:dyDescent="0.25">
      <c r="A122" s="1" t="s">
        <v>257</v>
      </c>
      <c r="B122" s="1">
        <v>510</v>
      </c>
      <c r="C122" s="27" t="str">
        <f>LOOKUP(Project_List[[#This Row],[Fund No.]],'Code Lookup'!A$9:A$53,'Code Lookup'!B$9:B$53)</f>
        <v>Water Utility</v>
      </c>
      <c r="D122" s="1" t="s">
        <v>64</v>
      </c>
      <c r="E122" s="28" t="s">
        <v>55</v>
      </c>
      <c r="F122" s="1" t="s">
        <v>90</v>
      </c>
      <c r="G122" s="1" t="s">
        <v>415</v>
      </c>
      <c r="H122" s="1" t="s">
        <v>49</v>
      </c>
      <c r="I122" s="36"/>
      <c r="J122" s="28">
        <v>59817</v>
      </c>
      <c r="K122" s="1" t="s">
        <v>46</v>
      </c>
      <c r="L122" s="14">
        <v>0</v>
      </c>
      <c r="M122" s="14">
        <v>0</v>
      </c>
      <c r="N122" s="1" t="s">
        <v>253</v>
      </c>
      <c r="O122" s="1" t="s">
        <v>253</v>
      </c>
      <c r="P122" s="37">
        <v>44501</v>
      </c>
      <c r="Q122" s="37">
        <v>45078</v>
      </c>
      <c r="R122" s="37" t="s">
        <v>257</v>
      </c>
      <c r="S122" s="37">
        <v>45078</v>
      </c>
      <c r="T122" s="1" t="s">
        <v>3</v>
      </c>
      <c r="U122" s="2" t="s">
        <v>4</v>
      </c>
      <c r="V122" s="1" t="s">
        <v>5</v>
      </c>
      <c r="W122" s="1" t="s">
        <v>6</v>
      </c>
      <c r="X122" s="28" t="s">
        <v>10</v>
      </c>
      <c r="Y122" s="13">
        <v>0</v>
      </c>
      <c r="Z122" s="13">
        <v>0</v>
      </c>
      <c r="AA122" s="13"/>
      <c r="AB122" s="76"/>
      <c r="AC122" s="14">
        <v>0</v>
      </c>
      <c r="AD122" s="14"/>
      <c r="AE122" s="14"/>
      <c r="AF122" s="14">
        <f>Project_List[[#This Row],[Professional Service Agreement (PSA) Amount]]+Project_List[[#This Row],[Engineer''s Est]]+Project_List[[#This Row],[Estimated COA
Engineering / 
Admin]]</f>
        <v>0</v>
      </c>
      <c r="AG122" s="13">
        <f>Project_List[[#This Row],[Professional Service Agreement (PSA) Amount]]+Project_List[[#This Row],[Final Construction Costs]]+Project_List[[#This Row],[Estimated COA
Engineering / 
Admin]]</f>
        <v>0</v>
      </c>
      <c r="AH122" s="13">
        <f>Project_List[[#This Row],[Overall Budget]]-Project_List[[#This Row],[Total Anticipated Costs (PSA+Est+COA Est)]]-Project_List[[#This Row],[Anticipated Costs Unincombered]]</f>
        <v>0</v>
      </c>
      <c r="AI122" s="1" t="s">
        <v>13</v>
      </c>
      <c r="AJ122" s="42">
        <v>0</v>
      </c>
      <c r="AK122" s="36" t="s">
        <v>13</v>
      </c>
      <c r="AL122" s="1">
        <v>0</v>
      </c>
    </row>
    <row r="123" spans="1:38" ht="30" x14ac:dyDescent="0.25">
      <c r="A123" s="1" t="s">
        <v>257</v>
      </c>
      <c r="B123" s="1">
        <v>510</v>
      </c>
      <c r="C123" s="28" t="str">
        <f>LOOKUP(Project_List[[#This Row],[Fund No.]],'Code Lookup'!A$9:A$53,'Code Lookup'!B$9:B$53)</f>
        <v>Water Utility</v>
      </c>
      <c r="D123" s="1" t="s">
        <v>64</v>
      </c>
      <c r="E123" s="28" t="s">
        <v>502</v>
      </c>
      <c r="F123" s="1" t="s">
        <v>90</v>
      </c>
      <c r="G123" s="1" t="s">
        <v>465</v>
      </c>
      <c r="H123" s="32" t="s">
        <v>48</v>
      </c>
      <c r="I123" s="32">
        <v>380000</v>
      </c>
      <c r="J123" s="28">
        <v>64734</v>
      </c>
      <c r="K123" s="8" t="s">
        <v>0</v>
      </c>
      <c r="L123" s="21">
        <v>0</v>
      </c>
      <c r="M123" s="23">
        <v>0</v>
      </c>
      <c r="N123" s="1" t="s">
        <v>273</v>
      </c>
      <c r="O123" s="1" t="s">
        <v>273</v>
      </c>
      <c r="P123" s="37">
        <v>45931</v>
      </c>
      <c r="Q123" s="37"/>
      <c r="R123" s="37" t="s">
        <v>273</v>
      </c>
      <c r="S123" s="37">
        <v>46022</v>
      </c>
      <c r="T123" s="32" t="s">
        <v>3</v>
      </c>
      <c r="U123" s="32" t="s">
        <v>0</v>
      </c>
      <c r="V123" s="1" t="s">
        <v>54</v>
      </c>
      <c r="W123" s="1" t="s">
        <v>10</v>
      </c>
      <c r="X123" s="1" t="s">
        <v>10</v>
      </c>
      <c r="Y123" s="13">
        <v>330216</v>
      </c>
      <c r="Z123" s="13">
        <v>314426</v>
      </c>
      <c r="AA123" s="13"/>
      <c r="AB123" s="76"/>
      <c r="AC123" s="14"/>
      <c r="AD123" s="14">
        <v>45000</v>
      </c>
      <c r="AE123" s="14"/>
      <c r="AF123" s="14">
        <f>Project_List[[#This Row],[Professional Service Agreement (PSA) Amount]]+Project_List[[#This Row],[Engineer''s Est]]+Project_List[[#This Row],[Estimated COA
Engineering / 
Admin]]</f>
        <v>375216</v>
      </c>
      <c r="AG123" s="14">
        <f>Project_List[[#This Row],[Professional Service Agreement (PSA) Amount]]+Project_List[[#This Row],[Final Construction Costs]]+Project_List[[#This Row],[Estimated COA
Engineering / 
Admin]]</f>
        <v>45000</v>
      </c>
      <c r="AH123" s="13">
        <f>Project_List[[#This Row],[Overall Budget]]-Project_List[[#This Row],[Total Anticipated Costs (PSA+Est+COA Est)]]-Project_List[[#This Row],[Anticipated Costs Unincombered]]</f>
        <v>4784</v>
      </c>
      <c r="AI123" s="1" t="s">
        <v>10</v>
      </c>
      <c r="AJ123" s="42"/>
      <c r="AK123" s="36"/>
      <c r="AL123" s="1">
        <f>COUNTA(_xlfn.UNIQUE(Project_List[[#This Row],[Project Name]]))</f>
        <v>1</v>
      </c>
    </row>
    <row r="124" spans="1:38" ht="30" x14ac:dyDescent="0.25">
      <c r="A124" s="1" t="s">
        <v>257</v>
      </c>
      <c r="B124" s="1">
        <v>380</v>
      </c>
      <c r="C124" s="28" t="str">
        <f>LOOKUP(Project_List[[#This Row],[Fund No.]],'Code Lookup'!A$9:A$53,'Code Lookup'!B$9:B$53)</f>
        <v>2019/20 GO Bonds</v>
      </c>
      <c r="D124" s="1" t="s">
        <v>30</v>
      </c>
      <c r="E124" s="28" t="s">
        <v>371</v>
      </c>
      <c r="F124" s="1" t="s">
        <v>61</v>
      </c>
      <c r="G124" s="1" t="s">
        <v>345</v>
      </c>
      <c r="H124" s="32" t="s">
        <v>48</v>
      </c>
      <c r="I124" s="32">
        <v>220890</v>
      </c>
      <c r="J124" s="28">
        <v>64389</v>
      </c>
      <c r="K124" s="8" t="s">
        <v>16</v>
      </c>
      <c r="L124" s="21">
        <v>0</v>
      </c>
      <c r="M124" s="23">
        <v>0</v>
      </c>
      <c r="N124" s="1" t="s">
        <v>257</v>
      </c>
      <c r="O124" s="1" t="s">
        <v>257</v>
      </c>
      <c r="P124" s="37">
        <v>45808</v>
      </c>
      <c r="Q124" s="37"/>
      <c r="R124" s="37" t="s">
        <v>273</v>
      </c>
      <c r="S124" s="37">
        <v>46752</v>
      </c>
      <c r="T124" s="32" t="s">
        <v>3</v>
      </c>
      <c r="U124" s="32" t="s">
        <v>4</v>
      </c>
      <c r="V124" s="1" t="s">
        <v>456</v>
      </c>
      <c r="W124" s="1" t="s">
        <v>13</v>
      </c>
      <c r="X124" s="28" t="s">
        <v>10</v>
      </c>
      <c r="Y124" s="13">
        <v>220890</v>
      </c>
      <c r="Z124" s="13">
        <v>220890</v>
      </c>
      <c r="AA124" s="13"/>
      <c r="AB124" s="76"/>
      <c r="AC124" s="13"/>
      <c r="AD124" s="13"/>
      <c r="AE124" s="13"/>
      <c r="AF124" s="13">
        <f>Project_List[[#This Row],[Professional Service Agreement (PSA) Amount]]+Project_List[[#This Row],[Engineer''s Est]]+Project_List[[#This Row],[Estimated COA
Engineering / 
Admin]]</f>
        <v>220890</v>
      </c>
      <c r="AG124" s="13">
        <f>Project_List[[#This Row],[Professional Service Agreement (PSA) Amount]]+Project_List[[#This Row],[Final Construction Costs]]+Project_List[[#This Row],[Estimated COA
Engineering / 
Admin]]</f>
        <v>0</v>
      </c>
      <c r="AH124" s="13">
        <f>Project_List[[#This Row],[Overall Budget]]-Project_List[[#This Row],[Total Anticipated Costs (PSA+Est+COA Est)]]-Project_List[[#This Row],[Anticipated Costs Unincombered]]</f>
        <v>0</v>
      </c>
      <c r="AI124" s="1" t="s">
        <v>10</v>
      </c>
      <c r="AJ124" s="40">
        <v>65198</v>
      </c>
      <c r="AK124" s="32"/>
      <c r="AL124" s="1">
        <v>0</v>
      </c>
    </row>
    <row r="125" spans="1:38" ht="30" x14ac:dyDescent="0.25">
      <c r="A125" s="1" t="s">
        <v>257</v>
      </c>
      <c r="B125" s="1">
        <v>381</v>
      </c>
      <c r="C125" s="28" t="str">
        <f>LOOKUP(Project_List[[#This Row],[Fund No.]],'Code Lookup'!A$9:A$53,'Code Lookup'!B$9:B$53)</f>
        <v>2020/21 GO Bonds</v>
      </c>
      <c r="D125" s="1" t="s">
        <v>30</v>
      </c>
      <c r="E125" s="28" t="s">
        <v>372</v>
      </c>
      <c r="F125" s="1" t="s">
        <v>61</v>
      </c>
      <c r="G125" s="1" t="s">
        <v>345</v>
      </c>
      <c r="H125" s="32" t="s">
        <v>48</v>
      </c>
      <c r="I125" s="32">
        <v>510000</v>
      </c>
      <c r="J125" s="28">
        <v>64389</v>
      </c>
      <c r="K125" s="8" t="s">
        <v>16</v>
      </c>
      <c r="L125" s="21">
        <v>0</v>
      </c>
      <c r="M125" s="23">
        <v>0</v>
      </c>
      <c r="N125" s="1" t="s">
        <v>257</v>
      </c>
      <c r="O125" s="1" t="s">
        <v>257</v>
      </c>
      <c r="P125" s="37">
        <v>45808</v>
      </c>
      <c r="Q125" s="37"/>
      <c r="R125" s="37" t="s">
        <v>273</v>
      </c>
      <c r="S125" s="37">
        <v>46752</v>
      </c>
      <c r="T125" s="32" t="s">
        <v>3</v>
      </c>
      <c r="U125" s="32" t="s">
        <v>4</v>
      </c>
      <c r="V125" s="1" t="s">
        <v>456</v>
      </c>
      <c r="W125" s="1" t="s">
        <v>13</v>
      </c>
      <c r="X125" s="1" t="s">
        <v>10</v>
      </c>
      <c r="Y125" s="13">
        <v>510000</v>
      </c>
      <c r="Z125" s="13">
        <v>510000</v>
      </c>
      <c r="AA125" s="13"/>
      <c r="AB125" s="76"/>
      <c r="AC125" s="13"/>
      <c r="AD125" s="13">
        <v>200000</v>
      </c>
      <c r="AE125" s="13"/>
      <c r="AF125" s="13">
        <f>Project_List[[#This Row],[Professional Service Agreement (PSA) Amount]]+Project_List[[#This Row],[Engineer''s Est]]+Project_List[[#This Row],[Estimated COA
Engineering / 
Admin]]</f>
        <v>710000</v>
      </c>
      <c r="AG125" s="13">
        <f>Project_List[[#This Row],[Professional Service Agreement (PSA) Amount]]+Project_List[[#This Row],[Final Construction Costs]]+Project_List[[#This Row],[Estimated COA
Engineering / 
Admin]]</f>
        <v>200000</v>
      </c>
      <c r="AH125" s="13">
        <f>Project_List[[#This Row],[Overall Budget]]-Project_List[[#This Row],[Total Anticipated Costs (PSA+Est+COA Est)]]-Project_List[[#This Row],[Anticipated Costs Unincombered]]</f>
        <v>-200000</v>
      </c>
      <c r="AI125" s="1" t="s">
        <v>10</v>
      </c>
      <c r="AJ125" s="40">
        <v>163313</v>
      </c>
      <c r="AK125" s="32" t="s">
        <v>13</v>
      </c>
      <c r="AL125" s="1">
        <v>0</v>
      </c>
    </row>
    <row r="126" spans="1:38" ht="30" x14ac:dyDescent="0.25">
      <c r="A126" s="1" t="s">
        <v>257</v>
      </c>
      <c r="B126" s="1">
        <v>320</v>
      </c>
      <c r="C126" s="28" t="str">
        <f>LOOKUP(Project_List[[#This Row],[Fund No.]],'Code Lookup'!A$9:A$53,'Code Lookup'!B$9:B$53)</f>
        <v>Street Construction</v>
      </c>
      <c r="D126" s="1" t="s">
        <v>30</v>
      </c>
      <c r="E126" s="28" t="s">
        <v>370</v>
      </c>
      <c r="F126" s="1" t="s">
        <v>61</v>
      </c>
      <c r="G126" s="1" t="s">
        <v>345</v>
      </c>
      <c r="H126" s="32" t="s">
        <v>48</v>
      </c>
      <c r="I126" s="32">
        <v>1890000</v>
      </c>
      <c r="J126" s="28">
        <v>64389</v>
      </c>
      <c r="K126" s="8" t="s">
        <v>16</v>
      </c>
      <c r="L126" s="21">
        <v>142200</v>
      </c>
      <c r="M126" s="23">
        <v>122018</v>
      </c>
      <c r="N126" s="1" t="s">
        <v>257</v>
      </c>
      <c r="O126" s="1" t="s">
        <v>257</v>
      </c>
      <c r="P126" s="37">
        <v>45808</v>
      </c>
      <c r="Q126" s="37"/>
      <c r="R126" s="37" t="s">
        <v>273</v>
      </c>
      <c r="S126" s="37">
        <v>46752</v>
      </c>
      <c r="T126" s="32" t="s">
        <v>3</v>
      </c>
      <c r="U126" s="32" t="s">
        <v>4</v>
      </c>
      <c r="V126" s="1" t="s">
        <v>456</v>
      </c>
      <c r="W126" s="1" t="s">
        <v>13</v>
      </c>
      <c r="X126" s="28" t="s">
        <v>10</v>
      </c>
      <c r="Y126" s="13">
        <v>1747800</v>
      </c>
      <c r="Z126" s="13">
        <f>1696869.05-Z130-Z137-Z198</f>
        <v>1260304.05</v>
      </c>
      <c r="AA126" s="13"/>
      <c r="AB126" s="76"/>
      <c r="AC126" s="14"/>
      <c r="AD126" s="14">
        <f>405900-Project_List[[#This Row],[Professional Service Agreement (PSA) Amount]]</f>
        <v>263700</v>
      </c>
      <c r="AE126" s="14"/>
      <c r="AF126" s="14">
        <f>Project_List[[#This Row],[Professional Service Agreement (PSA) Amount]]+Project_List[[#This Row],[Engineer''s Est]]+Project_List[[#This Row],[Estimated COA
Engineering / 
Admin]]</f>
        <v>2153700</v>
      </c>
      <c r="AG126" s="14">
        <f>Project_List[[#This Row],[Professional Service Agreement (PSA) Amount]]+Project_List[[#This Row],[Final Construction Costs]]+Project_List[[#This Row],[Estimated COA
Engineering / 
Admin]]</f>
        <v>405900</v>
      </c>
      <c r="AH126" s="13">
        <f>Project_List[[#This Row],[Overall Budget]]-Project_List[[#This Row],[Total Anticipated Costs (PSA+Est+COA Est)]]-Project_List[[#This Row],[Anticipated Costs Unincombered]]</f>
        <v>-263700</v>
      </c>
      <c r="AI126" s="1" t="s">
        <v>10</v>
      </c>
      <c r="AJ126" s="42">
        <v>1890000</v>
      </c>
      <c r="AK126" s="36" t="s">
        <v>10</v>
      </c>
      <c r="AL126" s="1">
        <v>1</v>
      </c>
    </row>
    <row r="127" spans="1:38" ht="30" x14ac:dyDescent="0.25">
      <c r="A127" s="1" t="s">
        <v>257</v>
      </c>
      <c r="B127" s="1">
        <v>87</v>
      </c>
      <c r="C127" s="28" t="str">
        <f>LOOKUP(Project_List[[#This Row],[Fund No.]],'Code Lookup'!A$9:A$53,'Code Lookup'!B$9:B$53)</f>
        <v>CDBG</v>
      </c>
      <c r="D127" s="1" t="s">
        <v>64</v>
      </c>
      <c r="E127" s="28">
        <v>-87</v>
      </c>
      <c r="F127" s="1" t="s">
        <v>90</v>
      </c>
      <c r="G127" s="1" t="s">
        <v>344</v>
      </c>
      <c r="H127" s="32" t="s">
        <v>48</v>
      </c>
      <c r="I127" s="32">
        <v>680000</v>
      </c>
      <c r="J127" s="28"/>
      <c r="K127" s="8" t="s">
        <v>0</v>
      </c>
      <c r="L127" s="21">
        <v>0</v>
      </c>
      <c r="M127" s="23">
        <v>0</v>
      </c>
      <c r="N127" s="1" t="s">
        <v>273</v>
      </c>
      <c r="O127" s="1" t="s">
        <v>273</v>
      </c>
      <c r="P127" s="37">
        <v>45957</v>
      </c>
      <c r="Q127" s="37"/>
      <c r="R127" s="37" t="s">
        <v>273</v>
      </c>
      <c r="S127" s="37">
        <v>46387</v>
      </c>
      <c r="T127" s="32" t="s">
        <v>3</v>
      </c>
      <c r="U127" s="32" t="s">
        <v>0</v>
      </c>
      <c r="V127" s="1" t="s">
        <v>296</v>
      </c>
      <c r="W127" s="1" t="s">
        <v>13</v>
      </c>
      <c r="X127" s="1" t="s">
        <v>10</v>
      </c>
      <c r="Y127" s="13">
        <v>575908</v>
      </c>
      <c r="Z127" s="13">
        <v>484024.4</v>
      </c>
      <c r="AA127" s="13"/>
      <c r="AB127" s="76"/>
      <c r="AC127" s="14"/>
      <c r="AD127" s="14">
        <v>80000</v>
      </c>
      <c r="AE127" s="14"/>
      <c r="AF127" s="14">
        <f>Project_List[[#This Row],[Professional Service Agreement (PSA) Amount]]+Project_List[[#This Row],[Engineer''s Est]]+Project_List[[#This Row],[Estimated COA
Engineering / 
Admin]]</f>
        <v>655908</v>
      </c>
      <c r="AG127" s="14">
        <f>Project_List[[#This Row],[Professional Service Agreement (PSA) Amount]]+Project_List[[#This Row],[Final Construction Costs]]+Project_List[[#This Row],[Estimated COA
Engineering / 
Admin]]</f>
        <v>80000</v>
      </c>
      <c r="AH127" s="13">
        <f>Project_List[[#This Row],[Overall Budget]]-Project_List[[#This Row],[Total Anticipated Costs (PSA+Est+COA Est)]]-Project_List[[#This Row],[Anticipated Costs Unincombered]]</f>
        <v>24092</v>
      </c>
      <c r="AI127" s="1" t="s">
        <v>10</v>
      </c>
      <c r="AJ127" s="42"/>
      <c r="AK127" s="36" t="s">
        <v>10</v>
      </c>
      <c r="AL127" s="1">
        <v>1</v>
      </c>
    </row>
    <row r="128" spans="1:38" x14ac:dyDescent="0.25">
      <c r="A128" s="1" t="s">
        <v>257</v>
      </c>
      <c r="B128" s="1">
        <v>560</v>
      </c>
      <c r="C128" s="28" t="str">
        <f>LOOKUP(Project_List[[#This Row],[Fund No.]],'Code Lookup'!A$9:A$53,'Code Lookup'!B$9:B$53)</f>
        <v>Stormwater Utility</v>
      </c>
      <c r="D128" s="1" t="s">
        <v>68</v>
      </c>
      <c r="E128" s="28" t="s">
        <v>363</v>
      </c>
      <c r="F128" s="1" t="s">
        <v>364</v>
      </c>
      <c r="G128" s="1" t="s">
        <v>364</v>
      </c>
      <c r="H128" s="32" t="s">
        <v>36</v>
      </c>
      <c r="I128" s="32">
        <v>642257</v>
      </c>
      <c r="J128" s="28"/>
      <c r="K128" s="8"/>
      <c r="L128" s="21"/>
      <c r="M128" s="23"/>
      <c r="N128" s="1" t="s">
        <v>258</v>
      </c>
      <c r="O128" s="1" t="s">
        <v>258</v>
      </c>
      <c r="P128" s="37"/>
      <c r="Q128" s="37"/>
      <c r="R128" s="37" t="s">
        <v>258</v>
      </c>
      <c r="S128" s="37"/>
      <c r="X128" s="28" t="s">
        <v>10</v>
      </c>
      <c r="Y128" s="13"/>
      <c r="Z128" s="13"/>
      <c r="AA128" s="13"/>
      <c r="AB128" s="76"/>
      <c r="AC128" s="14"/>
      <c r="AD128" s="14"/>
      <c r="AE128" s="14"/>
      <c r="AF128" s="14">
        <f>Project_List[[#This Row],[Professional Service Agreement (PSA) Amount]]+Project_List[[#This Row],[Engineer''s Est]]+Project_List[[#This Row],[Estimated COA
Engineering / 
Admin]]</f>
        <v>0</v>
      </c>
      <c r="AG128" s="14">
        <f>Project_List[[#This Row],[Professional Service Agreement (PSA) Amount]]+Project_List[[#This Row],[Final Construction Costs]]+Project_List[[#This Row],[Estimated COA
Engineering / 
Admin]]</f>
        <v>0</v>
      </c>
      <c r="AH128" s="13">
        <f>Project_List[[#This Row],[Overall Budget]]-Project_List[[#This Row],[Total Anticipated Costs (PSA+Est+COA Est)]]-Project_List[[#This Row],[Anticipated Costs Unincombered]]</f>
        <v>642257</v>
      </c>
      <c r="AJ128" s="42">
        <v>637905</v>
      </c>
      <c r="AK128" s="36" t="s">
        <v>10</v>
      </c>
      <c r="AL128" s="1">
        <v>1</v>
      </c>
    </row>
    <row r="129" spans="1:38" ht="30" x14ac:dyDescent="0.25">
      <c r="A129" s="1" t="s">
        <v>257</v>
      </c>
      <c r="B129" s="1">
        <v>510</v>
      </c>
      <c r="C129" s="27" t="str">
        <f>LOOKUP(Project_List[[#This Row],[Fund No.]],'Code Lookup'!A$9:A$53,'Code Lookup'!B$9:B$53)</f>
        <v>Water Utility</v>
      </c>
      <c r="D129" s="1" t="s">
        <v>64</v>
      </c>
      <c r="E129" s="28" t="s">
        <v>55</v>
      </c>
      <c r="F129" s="1" t="s">
        <v>90</v>
      </c>
      <c r="G129" s="1" t="s">
        <v>156</v>
      </c>
      <c r="H129" s="1" t="s">
        <v>49</v>
      </c>
      <c r="I129" s="36"/>
      <c r="J129" s="28"/>
      <c r="K129" s="1"/>
      <c r="L129" s="14"/>
      <c r="M129" s="14"/>
      <c r="N129" s="1" t="s">
        <v>256</v>
      </c>
      <c r="O129" s="1" t="s">
        <v>256</v>
      </c>
      <c r="P129" s="37">
        <v>45047</v>
      </c>
      <c r="Q129" s="37">
        <v>45246</v>
      </c>
      <c r="R129" s="37" t="s">
        <v>256</v>
      </c>
      <c r="S129" s="37">
        <v>45627</v>
      </c>
      <c r="T129" s="1" t="s">
        <v>3</v>
      </c>
      <c r="U129" s="1" t="s">
        <v>0</v>
      </c>
      <c r="W129" s="1" t="s">
        <v>408</v>
      </c>
      <c r="X129" s="1" t="s">
        <v>10</v>
      </c>
      <c r="Y129" s="13"/>
      <c r="Z129" s="13"/>
      <c r="AA129" s="13"/>
      <c r="AB129" s="76"/>
      <c r="AC129" s="14"/>
      <c r="AD129" s="14"/>
      <c r="AE129" s="14"/>
      <c r="AF129" s="14">
        <f>Project_List[[#This Row],[Professional Service Agreement (PSA) Amount]]+Project_List[[#This Row],[Engineer''s Est]]+Project_List[[#This Row],[Estimated COA
Engineering / 
Admin]]</f>
        <v>0</v>
      </c>
      <c r="AG129" s="13">
        <f>Project_List[[#This Row],[Professional Service Agreement (PSA) Amount]]+Project_List[[#This Row],[Final Construction Costs]]+Project_List[[#This Row],[Estimated COA
Engineering / 
Admin]]</f>
        <v>0</v>
      </c>
      <c r="AH129" s="13">
        <f>Project_List[[#This Row],[Overall Budget]]-Project_List[[#This Row],[Total Anticipated Costs (PSA+Est+COA Est)]]-Project_List[[#This Row],[Anticipated Costs Unincombered]]</f>
        <v>0</v>
      </c>
      <c r="AJ129" s="42"/>
      <c r="AK129" s="36" t="s">
        <v>10</v>
      </c>
      <c r="AL129" s="1">
        <v>1</v>
      </c>
    </row>
    <row r="130" spans="1:38" ht="30" x14ac:dyDescent="0.25">
      <c r="A130" s="1" t="s">
        <v>257</v>
      </c>
      <c r="B130" s="1">
        <v>381</v>
      </c>
      <c r="C130" s="28" t="str">
        <f>LOOKUP(Project_List[[#This Row],[Fund No.]],'Code Lookup'!A$9:A$53,'Code Lookup'!B$9:B$53)</f>
        <v>2020/21 GO Bonds</v>
      </c>
      <c r="D130" s="1" t="s">
        <v>30</v>
      </c>
      <c r="E130" s="28" t="s">
        <v>272</v>
      </c>
      <c r="F130" s="1" t="s">
        <v>314</v>
      </c>
      <c r="G130" s="1" t="s">
        <v>437</v>
      </c>
      <c r="H130" s="32" t="s">
        <v>48</v>
      </c>
      <c r="I130" s="32">
        <v>193790</v>
      </c>
      <c r="J130" s="28">
        <v>64739</v>
      </c>
      <c r="K130" s="8" t="s">
        <v>0</v>
      </c>
      <c r="L130" s="21">
        <v>0</v>
      </c>
      <c r="M130" s="23">
        <v>0</v>
      </c>
      <c r="N130" s="1" t="s">
        <v>257</v>
      </c>
      <c r="O130" s="1" t="s">
        <v>257</v>
      </c>
      <c r="P130" s="37">
        <v>45859</v>
      </c>
      <c r="Q130" s="37"/>
      <c r="R130" s="37" t="s">
        <v>273</v>
      </c>
      <c r="S130" s="37">
        <v>46538</v>
      </c>
      <c r="T130" s="32" t="s">
        <v>570</v>
      </c>
      <c r="U130" s="32" t="s">
        <v>0</v>
      </c>
      <c r="V130" s="1" t="s">
        <v>18</v>
      </c>
      <c r="W130" s="1" t="s">
        <v>569</v>
      </c>
      <c r="X130" s="28" t="s">
        <v>10</v>
      </c>
      <c r="Y130" s="13">
        <v>193790</v>
      </c>
      <c r="Z130" s="13">
        <v>193790</v>
      </c>
      <c r="AA130" s="13"/>
      <c r="AB130" s="76"/>
      <c r="AC130" s="13"/>
      <c r="AD130" s="13">
        <v>100000</v>
      </c>
      <c r="AE130" s="13"/>
      <c r="AF130" s="13">
        <f>Project_List[[#This Row],[Professional Service Agreement (PSA) Amount]]+Project_List[[#This Row],[Engineer''s Est]]+Project_List[[#This Row],[Estimated COA
Engineering / 
Admin]]</f>
        <v>293790</v>
      </c>
      <c r="AG130" s="13">
        <f>Project_List[[#This Row],[Professional Service Agreement (PSA) Amount]]+Project_List[[#This Row],[Final Construction Costs]]+Project_List[[#This Row],[Estimated COA
Engineering / 
Admin]]</f>
        <v>100000</v>
      </c>
      <c r="AH130" s="13">
        <f>Project_List[[#This Row],[Overall Budget]]-Project_List[[#This Row],[Total Anticipated Costs (PSA+Est+COA Est)]]-Project_List[[#This Row],[Anticipated Costs Unincombered]]</f>
        <v>-100000</v>
      </c>
      <c r="AI130" s="2"/>
      <c r="AJ130" s="40">
        <v>193790</v>
      </c>
      <c r="AK130" s="32" t="s">
        <v>10</v>
      </c>
      <c r="AL130" s="1">
        <v>1</v>
      </c>
    </row>
    <row r="131" spans="1:38" ht="30" x14ac:dyDescent="0.25">
      <c r="A131" s="1" t="s">
        <v>257</v>
      </c>
      <c r="B131" s="1">
        <v>510</v>
      </c>
      <c r="C131" s="28" t="str">
        <f>LOOKUP(Project_List[[#This Row],[Fund No.]],'Code Lookup'!A$9:A$53,'Code Lookup'!B$9:B$53)</f>
        <v>Water Utility</v>
      </c>
      <c r="D131" s="1" t="s">
        <v>64</v>
      </c>
      <c r="E131" s="28" t="s">
        <v>55</v>
      </c>
      <c r="F131" s="1" t="s">
        <v>90</v>
      </c>
      <c r="G131" s="1" t="s">
        <v>298</v>
      </c>
      <c r="H131" s="32" t="s">
        <v>49</v>
      </c>
      <c r="I131" s="32">
        <v>200000</v>
      </c>
      <c r="J131" s="28">
        <v>63866</v>
      </c>
      <c r="K131" s="8" t="s">
        <v>0</v>
      </c>
      <c r="L131" s="21">
        <v>0</v>
      </c>
      <c r="M131" s="23">
        <v>0</v>
      </c>
      <c r="N131" s="1" t="s">
        <v>257</v>
      </c>
      <c r="O131" s="1" t="s">
        <v>257</v>
      </c>
      <c r="P131" s="37">
        <v>45597</v>
      </c>
      <c r="Q131" s="37">
        <v>45853</v>
      </c>
      <c r="R131" s="37" t="s">
        <v>257</v>
      </c>
      <c r="S131" s="37">
        <v>45778</v>
      </c>
      <c r="T131" s="32" t="s">
        <v>7</v>
      </c>
      <c r="U131" s="32" t="s">
        <v>0</v>
      </c>
      <c r="V131" s="1" t="s">
        <v>296</v>
      </c>
      <c r="W131" s="1" t="s">
        <v>10</v>
      </c>
      <c r="X131" s="1" t="s">
        <v>10</v>
      </c>
      <c r="Y131" s="13">
        <v>171856.5</v>
      </c>
      <c r="Z131" s="13">
        <v>104910.5</v>
      </c>
      <c r="AA131" s="13">
        <f>-202</f>
        <v>-202</v>
      </c>
      <c r="AB131" s="76">
        <v>20000</v>
      </c>
      <c r="AC131" s="14">
        <v>104708.5</v>
      </c>
      <c r="AD131" s="14">
        <v>20000</v>
      </c>
      <c r="AE131" s="14"/>
      <c r="AF131" s="14">
        <f>Project_List[[#This Row],[Professional Service Agreement (PSA) Amount]]+Project_List[[#This Row],[Engineer''s Est]]+Project_List[[#This Row],[Estimated COA
Engineering / 
Admin]]</f>
        <v>191856.5</v>
      </c>
      <c r="AG131" s="13">
        <f>Project_List[[#This Row],[Professional Service Agreement (PSA) Amount]]+Project_List[[#This Row],[Final Construction Costs]]+Project_List[[#This Row],[Estimated COA
Engineering / 
Admin]]</f>
        <v>124708.5</v>
      </c>
      <c r="AH131" s="13">
        <f>Project_List[[#This Row],[Overall Budget]]-Project_List[[#This Row],[Total Anticipated Costs (PSA+Est+COA Est)]]-Project_List[[#This Row],[Anticipated Costs Unincombered]]</f>
        <v>-11856.5</v>
      </c>
      <c r="AI131" s="2" t="s">
        <v>10</v>
      </c>
      <c r="AJ131" s="42"/>
      <c r="AK131" s="36" t="s">
        <v>10</v>
      </c>
      <c r="AL131" s="1">
        <v>1</v>
      </c>
    </row>
    <row r="132" spans="1:38" ht="30" x14ac:dyDescent="0.25">
      <c r="A132" s="1" t="s">
        <v>257</v>
      </c>
      <c r="B132" s="1">
        <v>510</v>
      </c>
      <c r="C132" s="27" t="str">
        <f>LOOKUP(Project_List[[#This Row],[Fund No.]],'Code Lookup'!A$9:A$53,'Code Lookup'!B$9:B$53)</f>
        <v>Water Utility</v>
      </c>
      <c r="D132" s="1" t="s">
        <v>64</v>
      </c>
      <c r="E132" s="28" t="s">
        <v>55</v>
      </c>
      <c r="F132" s="1" t="s">
        <v>90</v>
      </c>
      <c r="G132" s="1" t="s">
        <v>155</v>
      </c>
      <c r="H132" s="1" t="s">
        <v>49</v>
      </c>
      <c r="I132" s="36"/>
      <c r="J132" s="28"/>
      <c r="K132" s="1"/>
      <c r="L132" s="14"/>
      <c r="M132" s="14"/>
      <c r="N132" s="1" t="s">
        <v>256</v>
      </c>
      <c r="O132" s="1" t="s">
        <v>256</v>
      </c>
      <c r="P132" s="37">
        <v>45047</v>
      </c>
      <c r="Q132" s="37">
        <v>45236</v>
      </c>
      <c r="R132" s="37" t="s">
        <v>256</v>
      </c>
      <c r="S132" s="37">
        <v>45627</v>
      </c>
      <c r="T132" s="1" t="s">
        <v>3</v>
      </c>
      <c r="U132" s="1" t="s">
        <v>0</v>
      </c>
      <c r="W132" s="1" t="s">
        <v>408</v>
      </c>
      <c r="X132" s="28" t="s">
        <v>10</v>
      </c>
      <c r="Y132" s="13"/>
      <c r="Z132" s="13"/>
      <c r="AA132" s="13"/>
      <c r="AB132" s="76"/>
      <c r="AC132" s="14"/>
      <c r="AD132" s="14"/>
      <c r="AE132" s="14"/>
      <c r="AF132" s="14">
        <f>Project_List[[#This Row],[Professional Service Agreement (PSA) Amount]]+Project_List[[#This Row],[Engineer''s Est]]+Project_List[[#This Row],[Estimated COA
Engineering / 
Admin]]</f>
        <v>0</v>
      </c>
      <c r="AG132" s="13">
        <f>Project_List[[#This Row],[Professional Service Agreement (PSA) Amount]]+Project_List[[#This Row],[Final Construction Costs]]+Project_List[[#This Row],[Estimated COA
Engineering / 
Admin]]</f>
        <v>0</v>
      </c>
      <c r="AH132" s="13">
        <f>Project_List[[#This Row],[Overall Budget]]-Project_List[[#This Row],[Total Anticipated Costs (PSA+Est+COA Est)]]-Project_List[[#This Row],[Anticipated Costs Unincombered]]</f>
        <v>0</v>
      </c>
      <c r="AJ132" s="42"/>
      <c r="AK132" s="36" t="s">
        <v>10</v>
      </c>
      <c r="AL132" s="1">
        <v>1</v>
      </c>
    </row>
    <row r="133" spans="1:38" ht="30" x14ac:dyDescent="0.25">
      <c r="A133" s="1" t="s">
        <v>257</v>
      </c>
      <c r="B133" s="1">
        <v>382</v>
      </c>
      <c r="C133" s="28" t="str">
        <f>LOOKUP(Project_List[[#This Row],[Fund No.]],'Code Lookup'!A$9:A$53,'Code Lookup'!B$9:B$53)</f>
        <v>2021/22 GO Bonds</v>
      </c>
      <c r="D133" s="1" t="s">
        <v>30</v>
      </c>
      <c r="E133" s="28" t="s">
        <v>275</v>
      </c>
      <c r="F133" s="1" t="s">
        <v>314</v>
      </c>
      <c r="G133" s="1" t="s">
        <v>437</v>
      </c>
      <c r="H133" s="32" t="s">
        <v>48</v>
      </c>
      <c r="I133" s="32">
        <v>419675</v>
      </c>
      <c r="J133" s="28">
        <v>64739</v>
      </c>
      <c r="K133" s="8" t="s">
        <v>0</v>
      </c>
      <c r="L133" s="21">
        <v>0</v>
      </c>
      <c r="M133" s="23">
        <v>0</v>
      </c>
      <c r="N133" s="1" t="s">
        <v>257</v>
      </c>
      <c r="O133" s="1" t="s">
        <v>257</v>
      </c>
      <c r="P133" s="37">
        <v>45859</v>
      </c>
      <c r="Q133" s="37"/>
      <c r="R133" s="37" t="s">
        <v>273</v>
      </c>
      <c r="S133" s="37">
        <v>46538</v>
      </c>
      <c r="T133" s="32" t="s">
        <v>570</v>
      </c>
      <c r="U133" s="32" t="s">
        <v>0</v>
      </c>
      <c r="V133" s="1" t="s">
        <v>18</v>
      </c>
      <c r="W133" s="1" t="s">
        <v>10</v>
      </c>
      <c r="X133" s="1" t="s">
        <v>10</v>
      </c>
      <c r="Y133" s="13">
        <v>261297.95</v>
      </c>
      <c r="Z133" s="13">
        <v>227054.95</v>
      </c>
      <c r="AA133" s="13"/>
      <c r="AB133" s="76"/>
      <c r="AC133" s="13"/>
      <c r="AD133" s="13"/>
      <c r="AE133" s="13"/>
      <c r="AF133" s="13">
        <f>Project_List[[#This Row],[Professional Service Agreement (PSA) Amount]]+Project_List[[#This Row],[Engineer''s Est]]+Project_List[[#This Row],[Estimated COA
Engineering / 
Admin]]</f>
        <v>261297.95</v>
      </c>
      <c r="AG133" s="13">
        <f>Project_List[[#This Row],[Professional Service Agreement (PSA) Amount]]+Project_List[[#This Row],[Final Construction Costs]]+Project_List[[#This Row],[Estimated COA
Engineering / 
Admin]]</f>
        <v>0</v>
      </c>
      <c r="AH133" s="13">
        <f>Project_List[[#This Row],[Overall Budget]]-Project_List[[#This Row],[Total Anticipated Costs (PSA+Est+COA Est)]]-Project_List[[#This Row],[Anticipated Costs Unincombered]]</f>
        <v>158377.04999999999</v>
      </c>
      <c r="AI133" s="2"/>
      <c r="AJ133" s="40">
        <v>119328</v>
      </c>
      <c r="AK133" s="32" t="s">
        <v>10</v>
      </c>
      <c r="AL133" s="1">
        <v>0</v>
      </c>
    </row>
    <row r="134" spans="1:38" ht="30" x14ac:dyDescent="0.25">
      <c r="A134" s="1" t="s">
        <v>257</v>
      </c>
      <c r="B134" s="1">
        <v>383</v>
      </c>
      <c r="C134" s="28" t="str">
        <f>LOOKUP(Project_List[[#This Row],[Fund No.]],'Code Lookup'!A$9:A$53,'Code Lookup'!B$9:B$53)</f>
        <v>2022/23 GO Bonds</v>
      </c>
      <c r="D134" s="1" t="s">
        <v>30</v>
      </c>
      <c r="E134" s="28" t="s">
        <v>274</v>
      </c>
      <c r="F134" s="1" t="s">
        <v>314</v>
      </c>
      <c r="G134" s="1" t="s">
        <v>437</v>
      </c>
      <c r="H134" s="32" t="s">
        <v>48</v>
      </c>
      <c r="I134" s="32">
        <v>124529</v>
      </c>
      <c r="J134" s="28">
        <v>64739</v>
      </c>
      <c r="K134" s="8" t="s">
        <v>0</v>
      </c>
      <c r="L134" s="21">
        <v>0</v>
      </c>
      <c r="M134" s="23">
        <v>0</v>
      </c>
      <c r="N134" s="1" t="s">
        <v>257</v>
      </c>
      <c r="O134" s="1" t="s">
        <v>257</v>
      </c>
      <c r="P134" s="37">
        <v>45859</v>
      </c>
      <c r="Q134" s="37"/>
      <c r="R134" s="37" t="s">
        <v>273</v>
      </c>
      <c r="S134" s="37">
        <v>46538</v>
      </c>
      <c r="T134" s="32" t="s">
        <v>570</v>
      </c>
      <c r="U134" s="32" t="s">
        <v>0</v>
      </c>
      <c r="V134" s="1" t="s">
        <v>18</v>
      </c>
      <c r="W134" s="1" t="s">
        <v>10</v>
      </c>
      <c r="X134" s="28" t="s">
        <v>10</v>
      </c>
      <c r="Y134" s="13">
        <v>136535</v>
      </c>
      <c r="Z134" s="13">
        <v>136535</v>
      </c>
      <c r="AA134" s="13">
        <v>9625</v>
      </c>
      <c r="AB134" s="76"/>
      <c r="AC134" s="13"/>
      <c r="AD134" s="13"/>
      <c r="AE134" s="13"/>
      <c r="AF134" s="13">
        <f>Project_List[[#This Row],[Professional Service Agreement (PSA) Amount]]+Project_List[[#This Row],[Engineer''s Est]]+Project_List[[#This Row],[Estimated COA
Engineering / 
Admin]]</f>
        <v>136535</v>
      </c>
      <c r="AG134" s="13">
        <f>Project_List[[#This Row],[Professional Service Agreement (PSA) Amount]]+Project_List[[#This Row],[Final Construction Costs]]+Project_List[[#This Row],[Estimated COA
Engineering / 
Admin]]</f>
        <v>0</v>
      </c>
      <c r="AH134" s="13">
        <f>Project_List[[#This Row],[Overall Budget]]-Project_List[[#This Row],[Total Anticipated Costs (PSA+Est+COA Est)]]-Project_List[[#This Row],[Anticipated Costs Unincombered]]</f>
        <v>-12006</v>
      </c>
      <c r="AI134" s="2"/>
      <c r="AJ134" s="40">
        <v>124529</v>
      </c>
      <c r="AK134" s="32" t="s">
        <v>10</v>
      </c>
      <c r="AL134" s="1">
        <v>0</v>
      </c>
    </row>
    <row r="135" spans="1:38" ht="45" x14ac:dyDescent="0.25">
      <c r="A135" s="1" t="s">
        <v>257</v>
      </c>
      <c r="B135" s="1">
        <v>510</v>
      </c>
      <c r="C135" s="27" t="str">
        <f>LOOKUP(Project_List[[#This Row],[Fund No.]],'Code Lookup'!A$9:A$53,'Code Lookup'!B$9:B$53)</f>
        <v>Water Utility</v>
      </c>
      <c r="D135" s="1" t="s">
        <v>64</v>
      </c>
      <c r="E135" s="28" t="s">
        <v>55</v>
      </c>
      <c r="F135" s="18" t="s">
        <v>90</v>
      </c>
      <c r="G135" s="1" t="s">
        <v>196</v>
      </c>
      <c r="H135" s="1" t="s">
        <v>36</v>
      </c>
      <c r="I135" s="36">
        <v>1200000</v>
      </c>
      <c r="J135" s="28"/>
      <c r="K135" s="1" t="s">
        <v>0</v>
      </c>
      <c r="L135" s="14">
        <v>0</v>
      </c>
      <c r="M135" s="14">
        <v>0</v>
      </c>
      <c r="N135" s="1" t="s">
        <v>257</v>
      </c>
      <c r="O135" s="1" t="s">
        <v>257</v>
      </c>
      <c r="P135" s="37"/>
      <c r="Q135" s="37"/>
      <c r="R135" s="37" t="s">
        <v>273</v>
      </c>
      <c r="S135" s="37"/>
      <c r="T135" s="1" t="s">
        <v>3</v>
      </c>
      <c r="U135" s="1" t="s">
        <v>0</v>
      </c>
      <c r="X135" s="1" t="s">
        <v>10</v>
      </c>
      <c r="Y135" s="13"/>
      <c r="Z135" s="13"/>
      <c r="AA135" s="13"/>
      <c r="AB135" s="76"/>
      <c r="AC135" s="14"/>
      <c r="AD135" s="14"/>
      <c r="AE135" s="14"/>
      <c r="AF135" s="14">
        <f>Project_List[[#This Row],[Professional Service Agreement (PSA) Amount]]+Project_List[[#This Row],[Engineer''s Est]]+Project_List[[#This Row],[Estimated COA
Engineering / 
Admin]]</f>
        <v>0</v>
      </c>
      <c r="AG135" s="13">
        <f>Project_List[[#This Row],[Professional Service Agreement (PSA) Amount]]+Project_List[[#This Row],[Final Construction Costs]]+Project_List[[#This Row],[Estimated COA
Engineering / 
Admin]]</f>
        <v>0</v>
      </c>
      <c r="AH135" s="13">
        <f>Project_List[[#This Row],[Overall Budget]]-Project_List[[#This Row],[Total Anticipated Costs (PSA+Est+COA Est)]]-Project_List[[#This Row],[Anticipated Costs Unincombered]]</f>
        <v>1200000</v>
      </c>
      <c r="AJ135" s="42"/>
      <c r="AK135" s="36" t="s">
        <v>10</v>
      </c>
      <c r="AL135" s="1">
        <v>1</v>
      </c>
    </row>
    <row r="136" spans="1:38" ht="30" x14ac:dyDescent="0.25">
      <c r="A136" s="1" t="s">
        <v>257</v>
      </c>
      <c r="B136" s="1">
        <v>60</v>
      </c>
      <c r="C136" s="28" t="str">
        <f>LOOKUP(Project_List[[#This Row],[Fund No.]],'Code Lookup'!A$9:A$53,'Code Lookup'!B$9:B$53)</f>
        <v>Road Use Tax</v>
      </c>
      <c r="D136" s="1" t="s">
        <v>30</v>
      </c>
      <c r="E136" s="28" t="s">
        <v>530</v>
      </c>
      <c r="F136" s="1" t="s">
        <v>61</v>
      </c>
      <c r="G136" s="1" t="s">
        <v>353</v>
      </c>
      <c r="H136" s="32" t="s">
        <v>211</v>
      </c>
      <c r="J136" s="28"/>
      <c r="K136" s="8"/>
      <c r="L136" s="21"/>
      <c r="M136" s="23"/>
      <c r="N136" s="1" t="s">
        <v>278</v>
      </c>
      <c r="O136" s="1" t="s">
        <v>278</v>
      </c>
      <c r="P136" s="37"/>
      <c r="Q136" s="37"/>
      <c r="R136" s="37" t="s">
        <v>281</v>
      </c>
      <c r="S136" s="37"/>
      <c r="X136" s="28" t="s">
        <v>10</v>
      </c>
      <c r="Y136" s="13"/>
      <c r="Z136" s="13"/>
      <c r="AA136" s="13"/>
      <c r="AB136" s="76"/>
      <c r="AC136" s="13"/>
      <c r="AD136" s="13"/>
      <c r="AE136" s="13"/>
      <c r="AF136" s="13">
        <f>Project_List[[#This Row],[Professional Service Agreement (PSA) Amount]]+Project_List[[#This Row],[Engineer''s Est]]+Project_List[[#This Row],[Estimated COA
Engineering / 
Admin]]</f>
        <v>0</v>
      </c>
      <c r="AG136" s="13">
        <f>Project_List[[#This Row],[Professional Service Agreement (PSA) Amount]]+Project_List[[#This Row],[Final Construction Costs]]+Project_List[[#This Row],[Estimated COA
Engineering / 
Admin]]</f>
        <v>0</v>
      </c>
      <c r="AH136" s="13">
        <f>Project_List[[#This Row],[Overall Budget]]-Project_List[[#This Row],[Total Anticipated Costs (PSA+Est+COA Est)]]-Project_List[[#This Row],[Anticipated Costs Unincombered]]</f>
        <v>0</v>
      </c>
      <c r="AJ136" s="40"/>
      <c r="AK136" s="32" t="s">
        <v>10</v>
      </c>
      <c r="AL136" s="1">
        <v>1</v>
      </c>
    </row>
    <row r="137" spans="1:38" ht="30" x14ac:dyDescent="0.25">
      <c r="A137" s="1" t="s">
        <v>257</v>
      </c>
      <c r="B137" s="1">
        <v>510</v>
      </c>
      <c r="C137" s="28" t="str">
        <f>LOOKUP(Project_List[[#This Row],[Fund No.]],'Code Lookup'!A$9:A$53,'Code Lookup'!B$9:B$53)</f>
        <v>Water Utility</v>
      </c>
      <c r="D137" s="1" t="s">
        <v>64</v>
      </c>
      <c r="E137" s="28" t="s">
        <v>55</v>
      </c>
      <c r="F137" s="1" t="s">
        <v>90</v>
      </c>
      <c r="G137" s="1" t="s">
        <v>437</v>
      </c>
      <c r="H137" s="32" t="s">
        <v>48</v>
      </c>
      <c r="I137" s="32">
        <v>350000</v>
      </c>
      <c r="J137" s="28">
        <v>64739</v>
      </c>
      <c r="K137" s="8" t="s">
        <v>0</v>
      </c>
      <c r="L137" s="21">
        <v>0</v>
      </c>
      <c r="M137" s="23">
        <v>0</v>
      </c>
      <c r="N137" s="1" t="s">
        <v>257</v>
      </c>
      <c r="O137" s="1" t="s">
        <v>257</v>
      </c>
      <c r="P137" s="37">
        <v>45859</v>
      </c>
      <c r="Q137" s="37"/>
      <c r="R137" s="37" t="s">
        <v>273</v>
      </c>
      <c r="S137" s="37">
        <v>46538</v>
      </c>
      <c r="T137" s="32" t="s">
        <v>570</v>
      </c>
      <c r="U137" s="32" t="s">
        <v>0</v>
      </c>
      <c r="V137" s="1" t="s">
        <v>18</v>
      </c>
      <c r="W137" s="1" t="s">
        <v>10</v>
      </c>
      <c r="X137" s="1" t="s">
        <v>10</v>
      </c>
      <c r="Y137" s="13">
        <v>242775</v>
      </c>
      <c r="Z137" s="13">
        <v>242775</v>
      </c>
      <c r="AA137" s="13">
        <v>6050</v>
      </c>
      <c r="AB137" s="76"/>
      <c r="AC137" s="13"/>
      <c r="AD137" s="13"/>
      <c r="AE137" s="13"/>
      <c r="AF137" s="13">
        <f>Project_List[[#This Row],[Professional Service Agreement (PSA) Amount]]+Project_List[[#This Row],[Engineer''s Est]]+Project_List[[#This Row],[Estimated COA
Engineering / 
Admin]]</f>
        <v>242775</v>
      </c>
      <c r="AG137" s="13">
        <f>Project_List[[#This Row],[Professional Service Agreement (PSA) Amount]]+Project_List[[#This Row],[Final Construction Costs]]+Project_List[[#This Row],[Estimated COA
Engineering / 
Admin]]</f>
        <v>0</v>
      </c>
      <c r="AH137" s="13">
        <f>Project_List[[#This Row],[Overall Budget]]-Project_List[[#This Row],[Total Anticipated Costs (PSA+Est+COA Est)]]-Project_List[[#This Row],[Anticipated Costs Unincombered]]</f>
        <v>107225</v>
      </c>
      <c r="AI137" s="2"/>
      <c r="AJ137" s="40">
        <v>0</v>
      </c>
      <c r="AK137" s="36" t="s">
        <v>10</v>
      </c>
      <c r="AL137" s="1">
        <v>0</v>
      </c>
    </row>
    <row r="138" spans="1:38" ht="30" x14ac:dyDescent="0.25">
      <c r="A138" s="1" t="s">
        <v>257</v>
      </c>
      <c r="B138" s="1">
        <v>320</v>
      </c>
      <c r="C138" s="28" t="str">
        <f>LOOKUP(Project_List[[#This Row],[Fund No.]],'Code Lookup'!A$9:A$53,'Code Lookup'!B$9:B$53)</f>
        <v>Street Construction</v>
      </c>
      <c r="D138" s="1" t="s">
        <v>30</v>
      </c>
      <c r="E138" s="28" t="s">
        <v>269</v>
      </c>
      <c r="F138" s="1" t="s">
        <v>270</v>
      </c>
      <c r="G138" s="1" t="s">
        <v>271</v>
      </c>
      <c r="H138" s="32" t="s">
        <v>435</v>
      </c>
      <c r="I138" s="32">
        <v>2814000</v>
      </c>
      <c r="J138" s="28"/>
      <c r="K138" s="8" t="s">
        <v>240</v>
      </c>
      <c r="L138" s="21">
        <v>0</v>
      </c>
      <c r="M138" s="23">
        <v>0</v>
      </c>
      <c r="N138" s="1" t="s">
        <v>257</v>
      </c>
      <c r="O138" s="1" t="s">
        <v>257</v>
      </c>
      <c r="P138" s="37">
        <v>45825</v>
      </c>
      <c r="Q138" s="37"/>
      <c r="R138" s="37" t="s">
        <v>258</v>
      </c>
      <c r="S138" s="37">
        <v>46387</v>
      </c>
      <c r="U138" s="32" t="s">
        <v>0</v>
      </c>
      <c r="V138" s="1" t="s">
        <v>12</v>
      </c>
      <c r="W138" s="1" t="s">
        <v>13</v>
      </c>
      <c r="X138" s="28" t="s">
        <v>13</v>
      </c>
      <c r="Y138" s="13">
        <v>3366596.4</v>
      </c>
      <c r="Z138" s="13">
        <v>2867876</v>
      </c>
      <c r="AA138" s="13"/>
      <c r="AB138" s="76"/>
      <c r="AC138" s="13"/>
      <c r="AD138" s="13">
        <v>147750</v>
      </c>
      <c r="AE138" s="13"/>
      <c r="AF138" s="13">
        <f>Project_List[[#This Row],[Professional Service Agreement (PSA) Amount]]+Project_List[[#This Row],[Engineer''s Est]]+Project_List[[#This Row],[Estimated COA
Engineering / 
Admin]]</f>
        <v>3514346.4</v>
      </c>
      <c r="AG138" s="13">
        <f>Project_List[[#This Row],[Professional Service Agreement (PSA) Amount]]+Project_List[[#This Row],[Final Construction Costs]]+Project_List[[#This Row],[Estimated COA
Engineering / 
Admin]]</f>
        <v>147750</v>
      </c>
      <c r="AH138" s="13">
        <f>Project_List[[#This Row],[Overall Budget]]-Project_List[[#This Row],[Total Anticipated Costs (PSA+Est+COA Est)]]-Project_List[[#This Row],[Anticipated Costs Unincombered]]</f>
        <v>-700346.39999999991</v>
      </c>
      <c r="AI138" s="2"/>
      <c r="AJ138" s="40">
        <v>2814000</v>
      </c>
      <c r="AK138" s="32" t="s">
        <v>13</v>
      </c>
      <c r="AL138" s="1">
        <v>0</v>
      </c>
    </row>
    <row r="139" spans="1:38" ht="30" x14ac:dyDescent="0.25">
      <c r="A139" s="1" t="s">
        <v>257</v>
      </c>
      <c r="B139" s="5">
        <v>383</v>
      </c>
      <c r="C139" s="30" t="str">
        <f>LOOKUP(Project_List[[#This Row],[Fund No.]],'Code Lookup'!A$9:A$53,'Code Lookup'!B$9:B$53)</f>
        <v>2022/23 GO Bonds</v>
      </c>
      <c r="D139" s="1" t="s">
        <v>30</v>
      </c>
      <c r="E139" s="30" t="s">
        <v>383</v>
      </c>
      <c r="F139" s="1" t="s">
        <v>270</v>
      </c>
      <c r="G139" s="1" t="s">
        <v>271</v>
      </c>
      <c r="H139" s="32" t="s">
        <v>48</v>
      </c>
      <c r="I139" s="32">
        <v>463298</v>
      </c>
      <c r="J139" s="30"/>
      <c r="K139" s="8" t="s">
        <v>240</v>
      </c>
      <c r="L139" s="21">
        <v>0</v>
      </c>
      <c r="M139" s="24">
        <v>0</v>
      </c>
      <c r="N139" s="5" t="s">
        <v>257</v>
      </c>
      <c r="O139" s="5" t="s">
        <v>257</v>
      </c>
      <c r="P139" s="48">
        <v>45825</v>
      </c>
      <c r="Q139" s="48"/>
      <c r="R139" s="48" t="s">
        <v>258</v>
      </c>
      <c r="S139" s="48">
        <v>46387</v>
      </c>
      <c r="T139" s="49"/>
      <c r="U139" s="32" t="s">
        <v>0</v>
      </c>
      <c r="V139" s="5" t="s">
        <v>12</v>
      </c>
      <c r="W139" s="1" t="s">
        <v>13</v>
      </c>
      <c r="X139" s="28" t="s">
        <v>13</v>
      </c>
      <c r="Y139" s="50">
        <v>463298</v>
      </c>
      <c r="Z139" s="50">
        <v>463298</v>
      </c>
      <c r="AA139" s="50"/>
      <c r="AB139" s="78"/>
      <c r="AC139" s="50"/>
      <c r="AD139" s="50"/>
      <c r="AE139" s="50"/>
      <c r="AF139" s="50">
        <f>Project_List[[#This Row],[Professional Service Agreement (PSA) Amount]]+Project_List[[#This Row],[Engineer''s Est]]+Project_List[[#This Row],[Estimated COA
Engineering / 
Admin]]</f>
        <v>463298</v>
      </c>
      <c r="AG139" s="13">
        <f>Project_List[[#This Row],[Professional Service Agreement (PSA) Amount]]+Project_List[[#This Row],[Final Construction Costs]]+Project_List[[#This Row],[Estimated COA
Engineering / 
Admin]]</f>
        <v>0</v>
      </c>
      <c r="AH139" s="13">
        <f>Project_List[[#This Row],[Overall Budget]]-Project_List[[#This Row],[Total Anticipated Costs (PSA+Est+COA Est)]]-Project_List[[#This Row],[Anticipated Costs Unincombered]]</f>
        <v>0</v>
      </c>
      <c r="AI139" s="5"/>
      <c r="AJ139" s="57">
        <v>0</v>
      </c>
      <c r="AK139" s="32" t="s">
        <v>13</v>
      </c>
      <c r="AL139" s="1">
        <v>0</v>
      </c>
    </row>
    <row r="140" spans="1:38" ht="30" x14ac:dyDescent="0.25">
      <c r="A140" s="1" t="s">
        <v>257</v>
      </c>
      <c r="B140" s="5">
        <v>384</v>
      </c>
      <c r="C140" s="30" t="str">
        <f>LOOKUP(Project_List[[#This Row],[Fund No.]],'Code Lookup'!A$9:A$53,'Code Lookup'!B$9:B$53)</f>
        <v>2023/24 GO Bonds</v>
      </c>
      <c r="D140" s="1" t="s">
        <v>30</v>
      </c>
      <c r="E140" s="30" t="s">
        <v>329</v>
      </c>
      <c r="F140" s="1" t="s">
        <v>270</v>
      </c>
      <c r="G140" s="1" t="s">
        <v>271</v>
      </c>
      <c r="H140" s="32" t="s">
        <v>48</v>
      </c>
      <c r="I140" s="32">
        <v>210669</v>
      </c>
      <c r="J140" s="30"/>
      <c r="K140" s="8" t="s">
        <v>240</v>
      </c>
      <c r="L140" s="21">
        <f>273250+20000+9000</f>
        <v>302250</v>
      </c>
      <c r="M140" s="24"/>
      <c r="N140" s="5" t="s">
        <v>257</v>
      </c>
      <c r="O140" s="5" t="s">
        <v>257</v>
      </c>
      <c r="P140" s="48">
        <v>45825</v>
      </c>
      <c r="Q140" s="48"/>
      <c r="R140" s="48" t="s">
        <v>258</v>
      </c>
      <c r="S140" s="48">
        <v>46387</v>
      </c>
      <c r="T140" s="49"/>
      <c r="U140" s="32" t="s">
        <v>0</v>
      </c>
      <c r="V140" s="5" t="s">
        <v>12</v>
      </c>
      <c r="W140" s="1" t="s">
        <v>13</v>
      </c>
      <c r="X140" s="1" t="s">
        <v>13</v>
      </c>
      <c r="Y140" s="50">
        <v>98534.1</v>
      </c>
      <c r="Z140" s="50">
        <v>98534.1</v>
      </c>
      <c r="AA140" s="50"/>
      <c r="AB140" s="78"/>
      <c r="AC140" s="50"/>
      <c r="AD140" s="50"/>
      <c r="AE140" s="50"/>
      <c r="AF140" s="50">
        <f>Project_List[[#This Row],[Professional Service Agreement (PSA) Amount]]+Project_List[[#This Row],[Engineer''s Est]]+Project_List[[#This Row],[Estimated COA
Engineering / 
Admin]]</f>
        <v>400784.1</v>
      </c>
      <c r="AG140" s="13">
        <f>Project_List[[#This Row],[Professional Service Agreement (PSA) Amount]]+Project_List[[#This Row],[Final Construction Costs]]+Project_List[[#This Row],[Estimated COA
Engineering / 
Admin]]</f>
        <v>302250</v>
      </c>
      <c r="AH140" s="13">
        <f>Project_List[[#This Row],[Overall Budget]]-Project_List[[#This Row],[Total Anticipated Costs (PSA+Est+COA Est)]]-Project_List[[#This Row],[Anticipated Costs Unincombered]]</f>
        <v>-190115.09999999998</v>
      </c>
      <c r="AI140" s="4"/>
      <c r="AJ140" s="57">
        <v>87158</v>
      </c>
      <c r="AK140" s="32" t="s">
        <v>13</v>
      </c>
      <c r="AL140" s="1">
        <v>1</v>
      </c>
    </row>
    <row r="141" spans="1:38" ht="30" x14ac:dyDescent="0.25">
      <c r="A141" s="1" t="s">
        <v>257</v>
      </c>
      <c r="B141" s="5">
        <v>384</v>
      </c>
      <c r="C141" s="30" t="str">
        <f>LOOKUP(Project_List[[#This Row],[Fund No.]],'Code Lookup'!A$9:A$53,'Code Lookup'!B$9:B$53)</f>
        <v>2023/24 GO Bonds</v>
      </c>
      <c r="D141" s="1" t="s">
        <v>30</v>
      </c>
      <c r="E141" s="30" t="s">
        <v>329</v>
      </c>
      <c r="F141" s="1" t="s">
        <v>270</v>
      </c>
      <c r="G141" s="1" t="s">
        <v>271</v>
      </c>
      <c r="H141" s="32" t="s">
        <v>48</v>
      </c>
      <c r="I141" s="32">
        <v>9970</v>
      </c>
      <c r="J141" s="30"/>
      <c r="K141" s="8" t="s">
        <v>240</v>
      </c>
      <c r="L141" s="21">
        <v>0</v>
      </c>
      <c r="M141" s="24">
        <v>0</v>
      </c>
      <c r="N141" s="5" t="s">
        <v>257</v>
      </c>
      <c r="O141" s="5" t="s">
        <v>257</v>
      </c>
      <c r="P141" s="48">
        <v>45825</v>
      </c>
      <c r="Q141" s="48"/>
      <c r="R141" s="48" t="s">
        <v>258</v>
      </c>
      <c r="S141" s="48">
        <v>46387</v>
      </c>
      <c r="T141" s="49"/>
      <c r="U141" s="32" t="s">
        <v>0</v>
      </c>
      <c r="V141" s="5" t="s">
        <v>439</v>
      </c>
      <c r="X141" s="28"/>
      <c r="Y141" s="50">
        <v>9970</v>
      </c>
      <c r="Z141" s="50">
        <v>9970</v>
      </c>
      <c r="AA141" s="50"/>
      <c r="AB141" s="78"/>
      <c r="AC141" s="34"/>
      <c r="AD141" s="34"/>
      <c r="AE141" s="34"/>
      <c r="AF141" s="34">
        <f>Project_List[[#This Row],[Professional Service Agreement (PSA) Amount]]+Project_List[[#This Row],[Engineer''s Est]]+Project_List[[#This Row],[Estimated COA
Engineering / 
Admin]]</f>
        <v>9970</v>
      </c>
      <c r="AG141" s="14">
        <f>Project_List[[#This Row],[Professional Service Agreement (PSA) Amount]]+Project_List[[#This Row],[Final Construction Costs]]+Project_List[[#This Row],[Estimated COA
Engineering / 
Admin]]</f>
        <v>0</v>
      </c>
      <c r="AH141" s="13">
        <f>Project_List[[#This Row],[Overall Budget]]-Project_List[[#This Row],[Total Anticipated Costs (PSA+Est+COA Est)]]-Project_List[[#This Row],[Anticipated Costs Unincombered]]</f>
        <v>0</v>
      </c>
      <c r="AI141" s="5"/>
      <c r="AJ141" s="51">
        <v>0</v>
      </c>
      <c r="AK141" s="36" t="s">
        <v>13</v>
      </c>
      <c r="AL141" s="1">
        <v>0</v>
      </c>
    </row>
    <row r="142" spans="1:38" ht="30" x14ac:dyDescent="0.25">
      <c r="A142" s="1" t="s">
        <v>257</v>
      </c>
      <c r="B142" s="5">
        <v>87</v>
      </c>
      <c r="C142" s="30" t="str">
        <f>LOOKUP(Project_List[[#This Row],[Fund No.]],'Code Lookup'!A$9:A$53,'Code Lookup'!B$9:B$53)</f>
        <v>CDBG</v>
      </c>
      <c r="D142" s="1" t="s">
        <v>64</v>
      </c>
      <c r="E142" s="30" t="s">
        <v>533</v>
      </c>
      <c r="F142" s="1" t="s">
        <v>90</v>
      </c>
      <c r="G142" s="1" t="s">
        <v>297</v>
      </c>
      <c r="H142" s="32" t="s">
        <v>48</v>
      </c>
      <c r="I142" s="32">
        <v>700000</v>
      </c>
      <c r="J142" s="30"/>
      <c r="K142" s="8" t="s">
        <v>0</v>
      </c>
      <c r="L142" s="21">
        <v>0</v>
      </c>
      <c r="M142" s="24">
        <v>0</v>
      </c>
      <c r="N142" s="5" t="s">
        <v>273</v>
      </c>
      <c r="O142" s="5" t="s">
        <v>273</v>
      </c>
      <c r="P142" s="48">
        <v>45957</v>
      </c>
      <c r="Q142" s="48"/>
      <c r="R142" s="48" t="s">
        <v>273</v>
      </c>
      <c r="S142" s="48">
        <v>46387</v>
      </c>
      <c r="T142" s="49" t="s">
        <v>3</v>
      </c>
      <c r="U142" s="32" t="s">
        <v>0</v>
      </c>
      <c r="V142" s="5" t="s">
        <v>296</v>
      </c>
      <c r="W142" s="1" t="s">
        <v>13</v>
      </c>
      <c r="X142" s="1" t="s">
        <v>10</v>
      </c>
      <c r="Y142" s="50">
        <v>600702</v>
      </c>
      <c r="Z142" s="50">
        <v>559321.30000000005</v>
      </c>
      <c r="AA142" s="50"/>
      <c r="AB142" s="78"/>
      <c r="AC142" s="34"/>
      <c r="AD142" s="34">
        <v>90000</v>
      </c>
      <c r="AE142" s="34"/>
      <c r="AF142" s="34">
        <f>Project_List[[#This Row],[Professional Service Agreement (PSA) Amount]]+Project_List[[#This Row],[Engineer''s Est]]+Project_List[[#This Row],[Estimated COA
Engineering / 
Admin]]</f>
        <v>690702</v>
      </c>
      <c r="AG142" s="13">
        <f>Project_List[[#This Row],[Professional Service Agreement (PSA) Amount]]+Project_List[[#This Row],[Final Construction Costs]]+Project_List[[#This Row],[Estimated COA
Engineering / 
Admin]]</f>
        <v>90000</v>
      </c>
      <c r="AH142" s="13">
        <f>Project_List[[#This Row],[Overall Budget]]-Project_List[[#This Row],[Total Anticipated Costs (PSA+Est+COA Est)]]-Project_List[[#This Row],[Anticipated Costs Unincombered]]</f>
        <v>9298</v>
      </c>
      <c r="AI142" s="4" t="s">
        <v>10</v>
      </c>
      <c r="AJ142" s="51"/>
      <c r="AK142" s="36" t="s">
        <v>10</v>
      </c>
      <c r="AL142" s="1">
        <v>1</v>
      </c>
    </row>
    <row r="143" spans="1:38" ht="30" x14ac:dyDescent="0.25">
      <c r="A143" s="1" t="s">
        <v>255</v>
      </c>
      <c r="B143" s="5">
        <v>122</v>
      </c>
      <c r="C143" s="93" t="str">
        <f>LOOKUP(Project_List[[#This Row],[Fund No.]],'Code Lookup'!A$9:A$53,'Code Lookup'!B$9:B$53)</f>
        <v>American Rescue Plan</v>
      </c>
      <c r="D143" s="1" t="s">
        <v>322</v>
      </c>
      <c r="E143" s="30" t="s">
        <v>573</v>
      </c>
      <c r="F143" s="1" t="s">
        <v>22</v>
      </c>
      <c r="G143" s="1" t="s">
        <v>438</v>
      </c>
      <c r="H143" s="37" t="s">
        <v>169</v>
      </c>
      <c r="I143" s="36">
        <v>2300000</v>
      </c>
      <c r="J143" s="30">
        <v>62500</v>
      </c>
      <c r="K143" s="1" t="s">
        <v>16</v>
      </c>
      <c r="L143" s="14">
        <f>48800+49900</f>
        <v>98700</v>
      </c>
      <c r="M143" s="34">
        <v>98700</v>
      </c>
      <c r="N143" s="5" t="s">
        <v>257</v>
      </c>
      <c r="O143" s="5" t="s">
        <v>257</v>
      </c>
      <c r="P143" s="48">
        <v>45222</v>
      </c>
      <c r="Q143" s="48">
        <v>45536</v>
      </c>
      <c r="R143" s="48" t="s">
        <v>257</v>
      </c>
      <c r="S143" s="48">
        <v>45657</v>
      </c>
      <c r="T143" s="5" t="s">
        <v>16</v>
      </c>
      <c r="U143" s="1" t="s">
        <v>0</v>
      </c>
      <c r="V143" s="5" t="s">
        <v>26</v>
      </c>
      <c r="W143" s="1" t="s">
        <v>10</v>
      </c>
      <c r="X143" s="28" t="s">
        <v>10</v>
      </c>
      <c r="Y143" s="50">
        <v>2833264.5</v>
      </c>
      <c r="Z143" s="50">
        <v>2125500</v>
      </c>
      <c r="AA143" s="50">
        <f>44675+111917.96+41382+11808</f>
        <v>209782.96000000002</v>
      </c>
      <c r="AB143" s="78"/>
      <c r="AC143" s="34">
        <v>2282092.96</v>
      </c>
      <c r="AD143" s="34">
        <v>0</v>
      </c>
      <c r="AE143" s="34">
        <v>0</v>
      </c>
      <c r="AF143" s="34">
        <f>Project_List[[#This Row],[Professional Service Agreement (PSA) Amount]]+Project_List[[#This Row],[Engineer''s Est]]+Project_List[[#This Row],[Estimated COA
Engineering / 
Admin]]</f>
        <v>2931964.5</v>
      </c>
      <c r="AG143" s="13">
        <f>Project_List[[#This Row],[Professional Service Agreement (PSA) Amount]]+Project_List[[#This Row],[Final Construction Costs]]+Project_List[[#This Row],[Estimated COA
Engineering / 
Admin]]</f>
        <v>2380792.96</v>
      </c>
      <c r="AH143" s="13">
        <f>Project_List[[#This Row],[Overall Budget]]-Project_List[[#This Row],[Total Anticipated Costs (PSA+Est+COA Est)]]-Project_List[[#This Row],[Anticipated Costs Unincombered]]</f>
        <v>-631964.5</v>
      </c>
      <c r="AI143" s="5" t="s">
        <v>10</v>
      </c>
      <c r="AJ143" s="51">
        <v>60000</v>
      </c>
      <c r="AK143" s="51" t="s">
        <v>10</v>
      </c>
      <c r="AL143" s="1">
        <v>1</v>
      </c>
    </row>
    <row r="144" spans="1:38" s="86" customFormat="1" ht="30" x14ac:dyDescent="0.25">
      <c r="A144" s="1" t="s">
        <v>257</v>
      </c>
      <c r="B144" s="5">
        <v>520</v>
      </c>
      <c r="C144" s="30" t="str">
        <f>LOOKUP(Project_List[[#This Row],[Fund No.]],'Code Lookup'!A$9:A$53,'Code Lookup'!B$9:B$53)</f>
        <v>Sewer Utility</v>
      </c>
      <c r="D144" s="1" t="s">
        <v>322</v>
      </c>
      <c r="E144" s="30" t="s">
        <v>67</v>
      </c>
      <c r="F144" s="1" t="s">
        <v>133</v>
      </c>
      <c r="G144" s="1" t="s">
        <v>345</v>
      </c>
      <c r="H144" s="32" t="s">
        <v>48</v>
      </c>
      <c r="I144" s="32">
        <v>20500</v>
      </c>
      <c r="J144" s="30">
        <v>64389</v>
      </c>
      <c r="K144" s="8" t="s">
        <v>16</v>
      </c>
      <c r="L144" s="21">
        <v>0</v>
      </c>
      <c r="M144" s="24">
        <v>0</v>
      </c>
      <c r="N144" s="5" t="s">
        <v>257</v>
      </c>
      <c r="O144" s="5" t="s">
        <v>257</v>
      </c>
      <c r="P144" s="48">
        <v>45808</v>
      </c>
      <c r="Q144" s="48"/>
      <c r="R144" s="48" t="s">
        <v>273</v>
      </c>
      <c r="S144" s="48">
        <v>46752</v>
      </c>
      <c r="T144" s="49" t="s">
        <v>3</v>
      </c>
      <c r="U144" s="32" t="s">
        <v>4</v>
      </c>
      <c r="V144" s="5" t="s">
        <v>456</v>
      </c>
      <c r="W144" s="1" t="s">
        <v>13</v>
      </c>
      <c r="X144" s="1" t="s">
        <v>10</v>
      </c>
      <c r="Y144" s="50">
        <v>20500</v>
      </c>
      <c r="Z144" s="50">
        <v>20500</v>
      </c>
      <c r="AA144" s="50"/>
      <c r="AB144" s="78"/>
      <c r="AC144" s="34"/>
      <c r="AD144" s="34"/>
      <c r="AE144" s="34"/>
      <c r="AF144" s="34">
        <f>Project_List[[#This Row],[Professional Service Agreement (PSA) Amount]]+Project_List[[#This Row],[Engineer''s Est]]+Project_List[[#This Row],[Estimated COA
Engineering / 
Admin]]</f>
        <v>20500</v>
      </c>
      <c r="AG144" s="14">
        <f>Project_List[[#This Row],[Professional Service Agreement (PSA) Amount]]+Project_List[[#This Row],[Final Construction Costs]]+Project_List[[#This Row],[Estimated COA
Engineering / 
Admin]]</f>
        <v>0</v>
      </c>
      <c r="AH144" s="13">
        <f>Project_List[[#This Row],[Overall Budget]]-Project_List[[#This Row],[Total Anticipated Costs (PSA+Est+COA Est)]]-Project_List[[#This Row],[Anticipated Costs Unincombered]]</f>
        <v>0</v>
      </c>
      <c r="AI144" s="5" t="s">
        <v>10</v>
      </c>
      <c r="AJ144" s="51"/>
      <c r="AK144" s="51" t="s">
        <v>10</v>
      </c>
      <c r="AL144" s="1">
        <v>0</v>
      </c>
    </row>
    <row r="145" spans="1:38" ht="30" x14ac:dyDescent="0.25">
      <c r="A145" s="1" t="s">
        <v>257</v>
      </c>
      <c r="B145" s="5">
        <v>520</v>
      </c>
      <c r="C145" s="30" t="str">
        <f>LOOKUP(Project_List[[#This Row],[Fund No.]],'Code Lookup'!A$9:A$53,'Code Lookup'!B$9:B$53)</f>
        <v>Sewer Utility</v>
      </c>
      <c r="D145" s="1" t="s">
        <v>322</v>
      </c>
      <c r="E145" s="30" t="s">
        <v>185</v>
      </c>
      <c r="F145" s="1" t="s">
        <v>22</v>
      </c>
      <c r="G145" s="1" t="s">
        <v>143</v>
      </c>
      <c r="H145" s="32" t="s">
        <v>49</v>
      </c>
      <c r="I145" s="32">
        <v>200000</v>
      </c>
      <c r="J145" s="30">
        <v>64118</v>
      </c>
      <c r="K145" s="8" t="s">
        <v>16</v>
      </c>
      <c r="L145" s="21">
        <v>0</v>
      </c>
      <c r="M145" s="24">
        <v>0</v>
      </c>
      <c r="N145" s="5" t="s">
        <v>257</v>
      </c>
      <c r="O145" s="5" t="s">
        <v>257</v>
      </c>
      <c r="P145" s="48">
        <v>45677</v>
      </c>
      <c r="Q145" s="48">
        <v>45961</v>
      </c>
      <c r="R145" s="48" t="s">
        <v>257</v>
      </c>
      <c r="S145" s="48">
        <v>46022</v>
      </c>
      <c r="T145" s="49" t="s">
        <v>16</v>
      </c>
      <c r="U145" s="32" t="s">
        <v>0</v>
      </c>
      <c r="V145" s="5" t="s">
        <v>337</v>
      </c>
      <c r="W145" s="1" t="s">
        <v>10</v>
      </c>
      <c r="X145" s="28" t="s">
        <v>10</v>
      </c>
      <c r="Y145" s="50">
        <v>0</v>
      </c>
      <c r="Z145" s="50">
        <v>0</v>
      </c>
      <c r="AA145" s="50"/>
      <c r="AB145" s="78"/>
      <c r="AC145" s="34">
        <v>167994</v>
      </c>
      <c r="AD145" s="34"/>
      <c r="AE145" s="34"/>
      <c r="AF145" s="34">
        <f>Project_List[[#This Row],[Professional Service Agreement (PSA) Amount]]+Project_List[[#This Row],[Engineer''s Est]]+Project_List[[#This Row],[Estimated COA
Engineering / 
Admin]]</f>
        <v>0</v>
      </c>
      <c r="AG145" s="14">
        <f>Project_List[[#This Row],[Professional Service Agreement (PSA) Amount]]+Project_List[[#This Row],[Final Construction Costs]]+Project_List[[#This Row],[Estimated COA
Engineering / 
Admin]]</f>
        <v>167994</v>
      </c>
      <c r="AH145" s="13">
        <f>Project_List[[#This Row],[Overall Budget]]-Project_List[[#This Row],[Total Anticipated Costs (PSA+Est+COA Est)]]-Project_List[[#This Row],[Anticipated Costs Unincombered]]</f>
        <v>200000</v>
      </c>
      <c r="AI145" s="5" t="s">
        <v>10</v>
      </c>
      <c r="AJ145" s="51">
        <v>32006</v>
      </c>
      <c r="AK145" s="51" t="s">
        <v>10</v>
      </c>
      <c r="AL145" s="1">
        <v>0</v>
      </c>
    </row>
    <row r="146" spans="1:38" ht="30" x14ac:dyDescent="0.25">
      <c r="A146" s="1" t="s">
        <v>257</v>
      </c>
      <c r="B146" s="5">
        <v>520</v>
      </c>
      <c r="C146" s="30" t="str">
        <f>LOOKUP(Project_List[[#This Row],[Fund No.]],'Code Lookup'!A$9:A$53,'Code Lookup'!B$9:B$53)</f>
        <v>Sewer Utility</v>
      </c>
      <c r="D146" s="1" t="s">
        <v>322</v>
      </c>
      <c r="E146" s="30" t="s">
        <v>200</v>
      </c>
      <c r="F146" s="1" t="s">
        <v>66</v>
      </c>
      <c r="G146" s="1" t="s">
        <v>362</v>
      </c>
      <c r="H146" s="32" t="s">
        <v>49</v>
      </c>
      <c r="I146" s="32">
        <v>125835</v>
      </c>
      <c r="J146" s="30">
        <v>63650</v>
      </c>
      <c r="K146" s="8" t="s">
        <v>4</v>
      </c>
      <c r="L146" s="21">
        <v>0</v>
      </c>
      <c r="M146" s="24">
        <v>0</v>
      </c>
      <c r="N146" s="5" t="s">
        <v>256</v>
      </c>
      <c r="O146" s="5" t="s">
        <v>257</v>
      </c>
      <c r="P146" s="48">
        <v>45474</v>
      </c>
      <c r="Q146" s="48">
        <v>45778</v>
      </c>
      <c r="R146" s="48" t="s">
        <v>257</v>
      </c>
      <c r="S146" s="48">
        <v>45778</v>
      </c>
      <c r="T146" s="49"/>
      <c r="U146" s="32" t="s">
        <v>4</v>
      </c>
      <c r="V146" s="5" t="s">
        <v>296</v>
      </c>
      <c r="W146" s="1" t="s">
        <v>10</v>
      </c>
      <c r="X146" s="1" t="s">
        <v>10</v>
      </c>
      <c r="Y146" s="50">
        <v>108000</v>
      </c>
      <c r="Z146" s="50">
        <v>90681</v>
      </c>
      <c r="AA146" s="50"/>
      <c r="AB146" s="78"/>
      <c r="AC146" s="34">
        <v>72848</v>
      </c>
      <c r="AD146" s="34">
        <v>12000</v>
      </c>
      <c r="AE146" s="34"/>
      <c r="AF146" s="34">
        <f>Project_List[[#This Row],[Professional Service Agreement (PSA) Amount]]+Project_List[[#This Row],[Engineer''s Est]]+Project_List[[#This Row],[Estimated COA
Engineering / 
Admin]]</f>
        <v>120000</v>
      </c>
      <c r="AG146" s="14">
        <f>Project_List[[#This Row],[Professional Service Agreement (PSA) Amount]]+Project_List[[#This Row],[Final Construction Costs]]+Project_List[[#This Row],[Estimated COA
Engineering / 
Admin]]</f>
        <v>84848</v>
      </c>
      <c r="AH146" s="13">
        <f>Project_List[[#This Row],[Overall Budget]]-Project_List[[#This Row],[Total Anticipated Costs (PSA+Est+COA Est)]]-Project_List[[#This Row],[Anticipated Costs Unincombered]]</f>
        <v>5835</v>
      </c>
      <c r="AI146" s="5" t="s">
        <v>10</v>
      </c>
      <c r="AJ146" s="51"/>
      <c r="AK146" s="51" t="s">
        <v>10</v>
      </c>
      <c r="AL146" s="1">
        <v>1</v>
      </c>
    </row>
    <row r="147" spans="1:38" ht="30" x14ac:dyDescent="0.25">
      <c r="A147" s="1" t="s">
        <v>257</v>
      </c>
      <c r="B147" s="5">
        <v>560</v>
      </c>
      <c r="C147" s="30" t="str">
        <f>LOOKUP(Project_List[[#This Row],[Fund No.]],'Code Lookup'!A$9:A$53,'Code Lookup'!B$9:B$53)</f>
        <v>Stormwater Utility</v>
      </c>
      <c r="D147" s="1" t="s">
        <v>68</v>
      </c>
      <c r="E147" s="30" t="s">
        <v>299</v>
      </c>
      <c r="F147" s="1" t="s">
        <v>202</v>
      </c>
      <c r="G147" s="1" t="s">
        <v>339</v>
      </c>
      <c r="H147" s="32" t="s">
        <v>36</v>
      </c>
      <c r="I147" s="32">
        <v>350000</v>
      </c>
      <c r="J147" s="30"/>
      <c r="K147" s="8" t="s">
        <v>0</v>
      </c>
      <c r="L147" s="21"/>
      <c r="M147" s="24"/>
      <c r="N147" s="5" t="s">
        <v>258</v>
      </c>
      <c r="O147" s="5" t="s">
        <v>258</v>
      </c>
      <c r="P147" s="48"/>
      <c r="Q147" s="48"/>
      <c r="R147" s="48" t="s">
        <v>278</v>
      </c>
      <c r="S147" s="48"/>
      <c r="T147" s="49"/>
      <c r="U147" s="32" t="s">
        <v>0</v>
      </c>
      <c r="V147" s="5"/>
      <c r="W147" s="1" t="s">
        <v>10</v>
      </c>
      <c r="X147" s="28" t="s">
        <v>10</v>
      </c>
      <c r="Y147" s="50"/>
      <c r="Z147" s="50"/>
      <c r="AA147" s="50"/>
      <c r="AB147" s="78"/>
      <c r="AC147" s="34"/>
      <c r="AD147" s="34"/>
      <c r="AE147" s="34"/>
      <c r="AF147" s="34">
        <f>Project_List[[#This Row],[Professional Service Agreement (PSA) Amount]]+Project_List[[#This Row],[Engineer''s Est]]+Project_List[[#This Row],[Estimated COA
Engineering / 
Admin]]</f>
        <v>0</v>
      </c>
      <c r="AG147" s="13">
        <f>Project_List[[#This Row],[Professional Service Agreement (PSA) Amount]]+Project_List[[#This Row],[Final Construction Costs]]+Project_List[[#This Row],[Estimated COA
Engineering / 
Admin]]</f>
        <v>0</v>
      </c>
      <c r="AH147" s="13">
        <f>Project_List[[#This Row],[Overall Budget]]-Project_List[[#This Row],[Total Anticipated Costs (PSA+Est+COA Est)]]-Project_List[[#This Row],[Anticipated Costs Unincombered]]</f>
        <v>350000</v>
      </c>
      <c r="AI147" s="4"/>
      <c r="AJ147" s="51">
        <v>350000</v>
      </c>
      <c r="AK147" s="51" t="s">
        <v>10</v>
      </c>
      <c r="AL147" s="1">
        <v>1</v>
      </c>
    </row>
    <row r="148" spans="1:38" ht="45" x14ac:dyDescent="0.25">
      <c r="A148" s="1" t="s">
        <v>257</v>
      </c>
      <c r="B148" s="5">
        <v>560</v>
      </c>
      <c r="C148" s="30" t="str">
        <f>LOOKUP(Project_List[[#This Row],[Fund No.]],'Code Lookup'!A$9:A$53,'Code Lookup'!B$9:B$53)</f>
        <v>Stormwater Utility</v>
      </c>
      <c r="D148" s="1" t="s">
        <v>68</v>
      </c>
      <c r="E148" s="30" t="s">
        <v>304</v>
      </c>
      <c r="F148" s="1" t="s">
        <v>198</v>
      </c>
      <c r="G148" s="1" t="s">
        <v>485</v>
      </c>
      <c r="H148" s="32" t="s">
        <v>211</v>
      </c>
      <c r="I148" s="32">
        <v>350000</v>
      </c>
      <c r="J148" s="30"/>
      <c r="K148" s="8"/>
      <c r="L148" s="15"/>
      <c r="M148" s="24"/>
      <c r="N148" s="5" t="s">
        <v>273</v>
      </c>
      <c r="O148" s="5" t="s">
        <v>258</v>
      </c>
      <c r="P148" s="48"/>
      <c r="Q148" s="48"/>
      <c r="R148" s="48" t="s">
        <v>258</v>
      </c>
      <c r="S148" s="48"/>
      <c r="T148" s="49"/>
      <c r="U148" s="49"/>
      <c r="V148" s="5"/>
      <c r="W148" s="5"/>
      <c r="X148" s="1" t="s">
        <v>10</v>
      </c>
      <c r="Y148" s="50"/>
      <c r="Z148" s="50"/>
      <c r="AA148" s="50"/>
      <c r="AB148" s="78"/>
      <c r="AC148" s="34"/>
      <c r="AD148" s="34"/>
      <c r="AE148" s="34"/>
      <c r="AF148" s="34">
        <f>Project_List[[#This Row],[Professional Service Agreement (PSA) Amount]]+Project_List[[#This Row],[Engineer''s Est]]+Project_List[[#This Row],[Estimated COA
Engineering / 
Admin]]</f>
        <v>0</v>
      </c>
      <c r="AG148" s="13">
        <f>Project_List[[#This Row],[Professional Service Agreement (PSA) Amount]]+Project_List[[#This Row],[Final Construction Costs]]+Project_List[[#This Row],[Estimated COA
Engineering / 
Admin]]</f>
        <v>0</v>
      </c>
      <c r="AH148" s="13">
        <f>Project_List[[#This Row],[Overall Budget]]-Project_List[[#This Row],[Total Anticipated Costs (PSA+Est+COA Est)]]-Project_List[[#This Row],[Anticipated Costs Unincombered]]</f>
        <v>350000</v>
      </c>
      <c r="AI148" s="4"/>
      <c r="AJ148" s="51">
        <v>35000</v>
      </c>
      <c r="AK148" s="51" t="s">
        <v>10</v>
      </c>
      <c r="AL148" s="1">
        <v>1</v>
      </c>
    </row>
    <row r="149" spans="1:38" ht="30" x14ac:dyDescent="0.25">
      <c r="A149" s="1" t="s">
        <v>273</v>
      </c>
      <c r="B149" s="5">
        <v>560</v>
      </c>
      <c r="C149" s="30" t="str">
        <f>LOOKUP(Project_List[[#This Row],[Fund No.]],'Code Lookup'!A$9:A$53,'Code Lookup'!B$9:B$53)</f>
        <v>Stormwater Utility</v>
      </c>
      <c r="D149" s="1" t="s">
        <v>68</v>
      </c>
      <c r="E149" s="30" t="s">
        <v>168</v>
      </c>
      <c r="F149" s="1" t="s">
        <v>324</v>
      </c>
      <c r="G149" s="1" t="s">
        <v>466</v>
      </c>
      <c r="H149" s="32" t="s">
        <v>49</v>
      </c>
      <c r="I149" s="32">
        <v>50000</v>
      </c>
      <c r="J149" s="30"/>
      <c r="K149" s="8" t="s">
        <v>0</v>
      </c>
      <c r="L149" s="15">
        <v>0</v>
      </c>
      <c r="M149" s="24">
        <v>0</v>
      </c>
      <c r="N149" s="5" t="s">
        <v>273</v>
      </c>
      <c r="O149" s="5" t="s">
        <v>273</v>
      </c>
      <c r="P149" s="48">
        <v>45870</v>
      </c>
      <c r="Q149" s="48">
        <v>45915</v>
      </c>
      <c r="R149" s="48" t="s">
        <v>273</v>
      </c>
      <c r="S149" s="48"/>
      <c r="T149" s="49"/>
      <c r="U149" s="49"/>
      <c r="V149" s="5"/>
      <c r="W149" s="5"/>
      <c r="X149" s="28" t="s">
        <v>10</v>
      </c>
      <c r="Y149" s="50">
        <v>49942.46</v>
      </c>
      <c r="Z149" s="50">
        <v>49942.46</v>
      </c>
      <c r="AA149" s="50">
        <v>0</v>
      </c>
      <c r="AB149" s="78"/>
      <c r="AC149" s="34">
        <v>49942.46</v>
      </c>
      <c r="AD149" s="34">
        <v>0</v>
      </c>
      <c r="AE149" s="34">
        <v>0</v>
      </c>
      <c r="AF149" s="34">
        <f>Project_List[[#This Row],[Professional Service Agreement (PSA) Amount]]+Project_List[[#This Row],[Engineer''s Est]]+Project_List[[#This Row],[Estimated COA
Engineering / 
Admin]]</f>
        <v>49942.46</v>
      </c>
      <c r="AG149" s="14">
        <f>Project_List[[#This Row],[Professional Service Agreement (PSA) Amount]]+Project_List[[#This Row],[Final Construction Costs]]+Project_List[[#This Row],[Estimated COA
Engineering / 
Admin]]</f>
        <v>49942.46</v>
      </c>
      <c r="AH149" s="14">
        <f>Project_List[[#This Row],[Overall Budget]]-Project_List[[#This Row],[Total Anticipated Costs (PSA+Est+COA Est)]]-Project_List[[#This Row],[Anticipated Costs Unincombered]]</f>
        <v>57.540000000000873</v>
      </c>
      <c r="AI149" s="5"/>
      <c r="AJ149" s="51">
        <v>0</v>
      </c>
      <c r="AK149" s="51"/>
      <c r="AL149" s="1">
        <f>COUNTA(_xlfn.UNIQUE(Project_List[[#This Row],[Project Name]]))</f>
        <v>1</v>
      </c>
    </row>
    <row r="150" spans="1:38" ht="60" x14ac:dyDescent="0.25">
      <c r="A150" s="1" t="s">
        <v>273</v>
      </c>
      <c r="B150" s="5">
        <v>560</v>
      </c>
      <c r="C150" s="30" t="str">
        <f>LOOKUP(Project_List[[#This Row],[Fund No.]],'Code Lookup'!A$9:A$53,'Code Lookup'!B$9:B$53)</f>
        <v>Stormwater Utility</v>
      </c>
      <c r="D150" s="1" t="s">
        <v>68</v>
      </c>
      <c r="E150" s="30" t="s">
        <v>305</v>
      </c>
      <c r="F150" s="1" t="s">
        <v>198</v>
      </c>
      <c r="G150" s="1" t="s">
        <v>307</v>
      </c>
      <c r="H150" s="32" t="s">
        <v>36</v>
      </c>
      <c r="I150" s="32">
        <v>500000</v>
      </c>
      <c r="J150" s="30"/>
      <c r="K150" s="8" t="s">
        <v>375</v>
      </c>
      <c r="L150" s="15">
        <v>0</v>
      </c>
      <c r="M150" s="24">
        <v>0</v>
      </c>
      <c r="N150" s="5" t="s">
        <v>273</v>
      </c>
      <c r="O150" s="5" t="s">
        <v>258</v>
      </c>
      <c r="P150" s="48"/>
      <c r="Q150" s="48"/>
      <c r="R150" s="48" t="s">
        <v>258</v>
      </c>
      <c r="S150" s="48"/>
      <c r="T150" s="49"/>
      <c r="U150" s="49" t="s">
        <v>369</v>
      </c>
      <c r="V150" s="5"/>
      <c r="W150" s="5" t="s">
        <v>10</v>
      </c>
      <c r="X150" s="1" t="s">
        <v>10</v>
      </c>
      <c r="Y150" s="50"/>
      <c r="Z150" s="50"/>
      <c r="AA150" s="50"/>
      <c r="AB150" s="78"/>
      <c r="AC150" s="34"/>
      <c r="AD150" s="34"/>
      <c r="AE150" s="34"/>
      <c r="AF150" s="34">
        <f>Project_List[[#This Row],[Professional Service Agreement (PSA) Amount]]+Project_List[[#This Row],[Engineer''s Est]]+Project_List[[#This Row],[Estimated COA
Engineering / 
Admin]]</f>
        <v>0</v>
      </c>
      <c r="AG150" s="13">
        <f>Project_List[[#This Row],[Professional Service Agreement (PSA) Amount]]+Project_List[[#This Row],[Final Construction Costs]]+Project_List[[#This Row],[Estimated COA
Engineering / 
Admin]]</f>
        <v>0</v>
      </c>
      <c r="AH150" s="13">
        <f>Project_List[[#This Row],[Overall Budget]]-Project_List[[#This Row],[Total Anticipated Costs (PSA+Est+COA Est)]]-Project_List[[#This Row],[Anticipated Costs Unincombered]]</f>
        <v>500000</v>
      </c>
      <c r="AI150" s="4"/>
      <c r="AJ150" s="51">
        <v>496409</v>
      </c>
      <c r="AK150" s="36" t="s">
        <v>10</v>
      </c>
      <c r="AL150" s="1">
        <v>1</v>
      </c>
    </row>
    <row r="151" spans="1:38" ht="30" x14ac:dyDescent="0.25">
      <c r="A151" s="1" t="s">
        <v>273</v>
      </c>
      <c r="B151" s="5">
        <v>386</v>
      </c>
      <c r="C151" s="30" t="str">
        <f>LOOKUP(Project_List[[#This Row],[Fund No.]],'Code Lookup'!A$9:A$53,'Code Lookup'!B$9:B$53)</f>
        <v>2025/26 GO Bonds</v>
      </c>
      <c r="D151" s="1" t="s">
        <v>30</v>
      </c>
      <c r="E151" s="30" t="s">
        <v>555</v>
      </c>
      <c r="F151" s="1" t="s">
        <v>321</v>
      </c>
      <c r="G151" s="1" t="s">
        <v>376</v>
      </c>
      <c r="H151" s="32" t="s">
        <v>36</v>
      </c>
      <c r="I151" s="32">
        <v>400000</v>
      </c>
      <c r="J151" s="30"/>
      <c r="K151" s="8" t="s">
        <v>0</v>
      </c>
      <c r="L151" s="15">
        <v>0</v>
      </c>
      <c r="M151" s="24">
        <v>0</v>
      </c>
      <c r="N151" s="5" t="s">
        <v>273</v>
      </c>
      <c r="O151" s="5" t="s">
        <v>273</v>
      </c>
      <c r="P151" s="48"/>
      <c r="Q151" s="48"/>
      <c r="R151" s="48" t="s">
        <v>258</v>
      </c>
      <c r="S151" s="48"/>
      <c r="T151" s="49"/>
      <c r="U151" s="49" t="s">
        <v>0</v>
      </c>
      <c r="V151" s="5"/>
      <c r="W151" s="5" t="s">
        <v>10</v>
      </c>
      <c r="X151" s="28" t="s">
        <v>10</v>
      </c>
      <c r="Y151" s="50">
        <v>160000</v>
      </c>
      <c r="Z151" s="50"/>
      <c r="AA151" s="50"/>
      <c r="AB151" s="78"/>
      <c r="AC151" s="34"/>
      <c r="AD151" s="34">
        <v>21400</v>
      </c>
      <c r="AE151" s="34"/>
      <c r="AF151" s="34">
        <f>Project_List[[#This Row],[Professional Service Agreement (PSA) Amount]]+Project_List[[#This Row],[Engineer''s Est]]+Project_List[[#This Row],[Estimated COA
Engineering / 
Admin]]</f>
        <v>181400</v>
      </c>
      <c r="AG151" s="13">
        <f>Project_List[[#This Row],[Professional Service Agreement (PSA) Amount]]+Project_List[[#This Row],[Final Construction Costs]]+Project_List[[#This Row],[Estimated COA
Engineering / 
Admin]]</f>
        <v>21400</v>
      </c>
      <c r="AH151" s="13">
        <f>Project_List[[#This Row],[Overall Budget]]-Project_List[[#This Row],[Total Anticipated Costs (PSA+Est+COA Est)]]-Project_List[[#This Row],[Anticipated Costs Unincombered]]</f>
        <v>218600</v>
      </c>
      <c r="AI151" s="4"/>
      <c r="AJ151" s="51">
        <v>399271</v>
      </c>
      <c r="AK151" s="51" t="s">
        <v>10</v>
      </c>
      <c r="AL151" s="1">
        <v>1</v>
      </c>
    </row>
    <row r="152" spans="1:38" ht="30" x14ac:dyDescent="0.25">
      <c r="A152" s="1" t="s">
        <v>273</v>
      </c>
      <c r="B152" s="5">
        <v>386</v>
      </c>
      <c r="C152" s="30" t="str">
        <f>LOOKUP(Project_List[[#This Row],[Fund No.]],'Code Lookup'!A$9:A$53,'Code Lookup'!B$9:B$53)</f>
        <v>2025/26 GO Bonds</v>
      </c>
      <c r="D152" s="1" t="s">
        <v>30</v>
      </c>
      <c r="E152" s="30" t="s">
        <v>468</v>
      </c>
      <c r="F152" s="1" t="s">
        <v>314</v>
      </c>
      <c r="G152" s="1" t="s">
        <v>276</v>
      </c>
      <c r="H152" s="32" t="s">
        <v>36</v>
      </c>
      <c r="I152" s="32">
        <v>500000</v>
      </c>
      <c r="J152" s="30"/>
      <c r="K152" s="8" t="s">
        <v>46</v>
      </c>
      <c r="L152" s="15">
        <v>72000</v>
      </c>
      <c r="M152" s="24"/>
      <c r="N152" s="5" t="s">
        <v>273</v>
      </c>
      <c r="O152" s="5" t="s">
        <v>273</v>
      </c>
      <c r="P152" s="48"/>
      <c r="Q152" s="48"/>
      <c r="R152" s="48" t="s">
        <v>258</v>
      </c>
      <c r="S152" s="48">
        <v>46387</v>
      </c>
      <c r="T152" s="49"/>
      <c r="U152" s="49" t="s">
        <v>4</v>
      </c>
      <c r="V152" s="5"/>
      <c r="W152" s="5" t="s">
        <v>10</v>
      </c>
      <c r="X152" s="1" t="s">
        <v>13</v>
      </c>
      <c r="Y152" s="50">
        <v>254015.5</v>
      </c>
      <c r="Z152" s="50"/>
      <c r="AA152" s="50"/>
      <c r="AB152" s="78"/>
      <c r="AC152" s="34"/>
      <c r="AD152" s="34">
        <v>123000</v>
      </c>
      <c r="AE152" s="34"/>
      <c r="AF152" s="34">
        <f>Project_List[[#This Row],[Professional Service Agreement (PSA) Amount]]+Project_List[[#This Row],[Engineer''s Est]]+Project_List[[#This Row],[Estimated COA
Engineering / 
Admin]]</f>
        <v>449015.5</v>
      </c>
      <c r="AG152" s="13">
        <f>Project_List[[#This Row],[Professional Service Agreement (PSA) Amount]]+Project_List[[#This Row],[Final Construction Costs]]+Project_List[[#This Row],[Estimated COA
Engineering / 
Admin]]</f>
        <v>195000</v>
      </c>
      <c r="AH152" s="13">
        <f>Project_List[[#This Row],[Overall Budget]]-Project_List[[#This Row],[Total Anticipated Costs (PSA+Est+COA Est)]]-Project_List[[#This Row],[Anticipated Costs Unincombered]]</f>
        <v>50984.5</v>
      </c>
      <c r="AI152" s="4"/>
      <c r="AJ152" s="51">
        <v>427330</v>
      </c>
      <c r="AK152" s="51" t="s">
        <v>13</v>
      </c>
      <c r="AL152" s="1">
        <v>1</v>
      </c>
    </row>
    <row r="153" spans="1:38" ht="30" x14ac:dyDescent="0.25">
      <c r="A153" s="1" t="s">
        <v>273</v>
      </c>
      <c r="B153" s="5">
        <v>30</v>
      </c>
      <c r="C153" s="30" t="str">
        <f>LOOKUP(Project_List[[#This Row],[Fund No.]],'Code Lookup'!A$9:A$53,'Code Lookup'!B$9:B$53)</f>
        <v>Local Option Sales Tax</v>
      </c>
      <c r="D153" s="1" t="s">
        <v>327</v>
      </c>
      <c r="E153" s="30" t="s">
        <v>373</v>
      </c>
      <c r="F153" s="1" t="s">
        <v>328</v>
      </c>
      <c r="G153" s="1" t="s">
        <v>276</v>
      </c>
      <c r="H153" s="32" t="s">
        <v>36</v>
      </c>
      <c r="I153" s="32">
        <v>100000</v>
      </c>
      <c r="J153" s="30"/>
      <c r="K153" s="8" t="s">
        <v>46</v>
      </c>
      <c r="L153" s="15">
        <v>0</v>
      </c>
      <c r="M153" s="24"/>
      <c r="N153" s="5" t="s">
        <v>273</v>
      </c>
      <c r="O153" s="5" t="s">
        <v>273</v>
      </c>
      <c r="P153" s="48"/>
      <c r="Q153" s="48"/>
      <c r="R153" s="48" t="s">
        <v>258</v>
      </c>
      <c r="S153" s="48">
        <v>46387</v>
      </c>
      <c r="T153" s="49"/>
      <c r="U153" s="49" t="s">
        <v>4</v>
      </c>
      <c r="V153" s="5"/>
      <c r="W153" s="5" t="s">
        <v>10</v>
      </c>
      <c r="X153" s="28" t="s">
        <v>13</v>
      </c>
      <c r="Y153" s="50">
        <v>103371</v>
      </c>
      <c r="Z153" s="50"/>
      <c r="AA153" s="50"/>
      <c r="AB153" s="78"/>
      <c r="AC153" s="34"/>
      <c r="AD153" s="34">
        <v>0</v>
      </c>
      <c r="AE153" s="34">
        <v>0</v>
      </c>
      <c r="AF153" s="34">
        <f>Project_List[[#This Row],[Professional Service Agreement (PSA) Amount]]+Project_List[[#This Row],[Engineer''s Est]]+Project_List[[#This Row],[Estimated COA
Engineering / 
Admin]]</f>
        <v>103371</v>
      </c>
      <c r="AG153" s="14">
        <f>Project_List[[#This Row],[Professional Service Agreement (PSA) Amount]]+Project_List[[#This Row],[Final Construction Costs]]+Project_List[[#This Row],[Estimated COA
Engineering / 
Admin]]</f>
        <v>0</v>
      </c>
      <c r="AH153" s="13">
        <f>Project_List[[#This Row],[Overall Budget]]-Project_List[[#This Row],[Total Anticipated Costs (PSA+Est+COA Est)]]-Project_List[[#This Row],[Anticipated Costs Unincombered]]</f>
        <v>-3371</v>
      </c>
      <c r="AI153" s="5"/>
      <c r="AJ153" s="51">
        <v>100000</v>
      </c>
      <c r="AK153" s="36" t="s">
        <v>13</v>
      </c>
      <c r="AL153" s="1">
        <v>0</v>
      </c>
    </row>
    <row r="154" spans="1:38" ht="30" x14ac:dyDescent="0.25">
      <c r="A154" s="1" t="s">
        <v>273</v>
      </c>
      <c r="B154" s="5">
        <v>320</v>
      </c>
      <c r="C154" s="30" t="str">
        <f>LOOKUP(Project_List[[#This Row],[Fund No.]],'Code Lookup'!A$9:A$53,'Code Lookup'!B$9:B$53)</f>
        <v>Street Construction</v>
      </c>
      <c r="D154" s="1" t="s">
        <v>30</v>
      </c>
      <c r="E154" s="30" t="s">
        <v>553</v>
      </c>
      <c r="F154" s="1" t="s">
        <v>314</v>
      </c>
      <c r="G154" s="1" t="s">
        <v>276</v>
      </c>
      <c r="H154" s="32" t="s">
        <v>36</v>
      </c>
      <c r="I154" s="32">
        <v>700000</v>
      </c>
      <c r="J154" s="30"/>
      <c r="K154" s="8" t="s">
        <v>46</v>
      </c>
      <c r="L154" s="15">
        <v>0</v>
      </c>
      <c r="M154" s="24"/>
      <c r="N154" s="5" t="s">
        <v>273</v>
      </c>
      <c r="O154" s="5" t="s">
        <v>273</v>
      </c>
      <c r="P154" s="48"/>
      <c r="Q154" s="48"/>
      <c r="R154" s="48" t="s">
        <v>258</v>
      </c>
      <c r="S154" s="48">
        <v>46387</v>
      </c>
      <c r="T154" s="49"/>
      <c r="U154" s="49" t="s">
        <v>4</v>
      </c>
      <c r="V154" s="5"/>
      <c r="W154" s="5" t="s">
        <v>10</v>
      </c>
      <c r="X154" s="1" t="s">
        <v>13</v>
      </c>
      <c r="Y154" s="50">
        <v>700000</v>
      </c>
      <c r="Z154" s="50"/>
      <c r="AA154" s="50"/>
      <c r="AB154" s="78"/>
      <c r="AC154" s="34"/>
      <c r="AD154" s="34">
        <v>0</v>
      </c>
      <c r="AE154" s="34">
        <v>0</v>
      </c>
      <c r="AF154" s="34">
        <f>Project_List[[#This Row],[Professional Service Agreement (PSA) Amount]]+Project_List[[#This Row],[Engineer''s Est]]+Project_List[[#This Row],[Estimated COA
Engineering / 
Admin]]</f>
        <v>700000</v>
      </c>
      <c r="AG154" s="14">
        <f>Project_List[[#This Row],[Professional Service Agreement (PSA) Amount]]+Project_List[[#This Row],[Final Construction Costs]]+Project_List[[#This Row],[Estimated COA
Engineering / 
Admin]]</f>
        <v>0</v>
      </c>
      <c r="AH154" s="14">
        <f>Project_List[[#This Row],[Overall Budget]]-Project_List[[#This Row],[Total Anticipated Costs (PSA+Est+COA Est)]]-Project_List[[#This Row],[Anticipated Costs Unincombered]]</f>
        <v>0</v>
      </c>
      <c r="AI154" s="5"/>
      <c r="AJ154" s="51">
        <v>700000</v>
      </c>
      <c r="AK154" s="36" t="s">
        <v>13</v>
      </c>
      <c r="AL154" s="1">
        <v>0</v>
      </c>
    </row>
    <row r="155" spans="1:38" ht="30" x14ac:dyDescent="0.25">
      <c r="A155" s="1" t="s">
        <v>273</v>
      </c>
      <c r="B155" s="5">
        <v>520</v>
      </c>
      <c r="C155" s="30" t="str">
        <f>LOOKUP(Project_List[[#This Row],[Fund No.]],'Code Lookup'!A$9:A$53,'Code Lookup'!B$9:B$53)</f>
        <v>Sewer Utility</v>
      </c>
      <c r="D155" s="1" t="s">
        <v>322</v>
      </c>
      <c r="E155" s="30" t="s">
        <v>496</v>
      </c>
      <c r="F155" s="1" t="s">
        <v>133</v>
      </c>
      <c r="G155" s="1" t="s">
        <v>581</v>
      </c>
      <c r="H155" s="32" t="s">
        <v>36</v>
      </c>
      <c r="I155" s="32">
        <v>80000</v>
      </c>
      <c r="J155" s="30"/>
      <c r="K155" s="8" t="s">
        <v>16</v>
      </c>
      <c r="L155" s="15">
        <v>0</v>
      </c>
      <c r="M155" s="24"/>
      <c r="N155" s="5" t="s">
        <v>273</v>
      </c>
      <c r="O155" s="5" t="s">
        <v>273</v>
      </c>
      <c r="P155" s="48"/>
      <c r="Q155" s="48"/>
      <c r="R155" s="48" t="s">
        <v>258</v>
      </c>
      <c r="S155" s="48">
        <v>46568</v>
      </c>
      <c r="T155" s="49"/>
      <c r="U155" s="49" t="s">
        <v>4</v>
      </c>
      <c r="V155" s="5"/>
      <c r="W155" s="5"/>
      <c r="X155" s="28" t="s">
        <v>10</v>
      </c>
      <c r="Y155" s="50">
        <v>69900</v>
      </c>
      <c r="Z155" s="50"/>
      <c r="AA155" s="50"/>
      <c r="AB155" s="78"/>
      <c r="AC155" s="34"/>
      <c r="AD155" s="34">
        <v>0</v>
      </c>
      <c r="AE155" s="34">
        <v>0</v>
      </c>
      <c r="AF155" s="34">
        <f>Project_List[[#This Row],[Professional Service Agreement (PSA) Amount]]+Project_List[[#This Row],[Engineer''s Est]]+Project_List[[#This Row],[Estimated COA
Engineering / 
Admin]]</f>
        <v>69900</v>
      </c>
      <c r="AG155" s="13">
        <f>Project_List[[#This Row],[Professional Service Agreement (PSA) Amount]]+Project_List[[#This Row],[Final Construction Costs]]+Project_List[[#This Row],[Estimated COA
Engineering / 
Admin]]</f>
        <v>0</v>
      </c>
      <c r="AH155" s="13">
        <f>Project_List[[#This Row],[Overall Budget]]-Project_List[[#This Row],[Total Anticipated Costs (PSA+Est+COA Est)]]-Project_List[[#This Row],[Anticipated Costs Unincombered]]</f>
        <v>10100</v>
      </c>
      <c r="AI155" s="4"/>
      <c r="AJ155" s="51"/>
      <c r="AK155" s="36" t="s">
        <v>13</v>
      </c>
      <c r="AL155" s="1">
        <v>0</v>
      </c>
    </row>
    <row r="156" spans="1:38" ht="30" x14ac:dyDescent="0.25">
      <c r="A156" s="1" t="s">
        <v>273</v>
      </c>
      <c r="B156" s="5">
        <v>386</v>
      </c>
      <c r="C156" s="30" t="str">
        <f>LOOKUP(Project_List[[#This Row],[Fund No.]],'Code Lookup'!A$9:A$53,'Code Lookup'!B$9:B$53)</f>
        <v>2025/26 GO Bonds</v>
      </c>
      <c r="D156" s="1" t="s">
        <v>30</v>
      </c>
      <c r="E156" s="30" t="s">
        <v>474</v>
      </c>
      <c r="F156" s="1" t="s">
        <v>60</v>
      </c>
      <c r="G156" s="1" t="s">
        <v>581</v>
      </c>
      <c r="H156" s="32" t="s">
        <v>36</v>
      </c>
      <c r="I156" s="32">
        <v>1450000</v>
      </c>
      <c r="J156" s="30"/>
      <c r="K156" s="8" t="s">
        <v>16</v>
      </c>
      <c r="L156" s="15">
        <f>321000</f>
        <v>321000</v>
      </c>
      <c r="M156" s="24"/>
      <c r="N156" s="5" t="s">
        <v>273</v>
      </c>
      <c r="O156" s="5" t="s">
        <v>273</v>
      </c>
      <c r="P156" s="48"/>
      <c r="Q156" s="48"/>
      <c r="R156" s="48" t="s">
        <v>258</v>
      </c>
      <c r="S156" s="48">
        <v>46568</v>
      </c>
      <c r="T156" s="49"/>
      <c r="U156" s="49" t="s">
        <v>4</v>
      </c>
      <c r="V156" s="5"/>
      <c r="W156" s="5" t="s">
        <v>10</v>
      </c>
      <c r="X156" s="28" t="s">
        <v>10</v>
      </c>
      <c r="Y156" s="50">
        <v>963667.75</v>
      </c>
      <c r="Z156" s="50"/>
      <c r="AA156" s="50"/>
      <c r="AB156" s="78"/>
      <c r="AC156" s="34"/>
      <c r="AD156" s="34">
        <v>129000</v>
      </c>
      <c r="AE156" s="34"/>
      <c r="AF156" s="34">
        <f>Project_List[[#This Row],[Professional Service Agreement (PSA) Amount]]+Project_List[[#This Row],[Engineer''s Est]]+Project_List[[#This Row],[Estimated COA
Engineering / 
Admin]]</f>
        <v>1413667.75</v>
      </c>
      <c r="AG156" s="13">
        <f>Project_List[[#This Row],[Professional Service Agreement (PSA) Amount]]+Project_List[[#This Row],[Final Construction Costs]]+Project_List[[#This Row],[Estimated COA
Engineering / 
Admin]]</f>
        <v>450000</v>
      </c>
      <c r="AH156" s="13">
        <f>Project_List[[#This Row],[Overall Budget]]-Project_List[[#This Row],[Total Anticipated Costs (PSA+Est+COA Est)]]-Project_List[[#This Row],[Anticipated Costs Unincombered]]</f>
        <v>36332.25</v>
      </c>
      <c r="AI156" s="4"/>
      <c r="AJ156" s="51">
        <f>3798501/2</f>
        <v>1899250.5</v>
      </c>
      <c r="AK156" s="36" t="s">
        <v>13</v>
      </c>
      <c r="AL156" s="1">
        <v>1</v>
      </c>
    </row>
    <row r="157" spans="1:38" ht="30" x14ac:dyDescent="0.25">
      <c r="A157" s="1" t="s">
        <v>273</v>
      </c>
      <c r="B157" s="5">
        <v>510</v>
      </c>
      <c r="C157" s="30" t="str">
        <f>LOOKUP(Project_List[[#This Row],[Fund No.]],'Code Lookup'!A$9:A$53,'Code Lookup'!B$9:B$53)</f>
        <v>Water Utility</v>
      </c>
      <c r="D157" s="1" t="s">
        <v>64</v>
      </c>
      <c r="E157" s="30" t="s">
        <v>588</v>
      </c>
      <c r="F157" s="1" t="s">
        <v>90</v>
      </c>
      <c r="G157" s="1" t="s">
        <v>582</v>
      </c>
      <c r="H157" s="32" t="s">
        <v>36</v>
      </c>
      <c r="I157" s="32">
        <v>512000</v>
      </c>
      <c r="J157" s="30"/>
      <c r="K157" s="8" t="s">
        <v>16</v>
      </c>
      <c r="L157" s="15">
        <v>0</v>
      </c>
      <c r="M157" s="24">
        <v>0</v>
      </c>
      <c r="N157" s="5" t="s">
        <v>273</v>
      </c>
      <c r="O157" s="5" t="s">
        <v>273</v>
      </c>
      <c r="P157" s="48"/>
      <c r="Q157" s="48"/>
      <c r="R157" s="48" t="s">
        <v>258</v>
      </c>
      <c r="S157" s="48">
        <v>46568</v>
      </c>
      <c r="T157" s="49"/>
      <c r="U157" s="49" t="s">
        <v>4</v>
      </c>
      <c r="V157" s="5"/>
      <c r="W157" s="5" t="s">
        <v>10</v>
      </c>
      <c r="X157" s="28" t="s">
        <v>10</v>
      </c>
      <c r="Y157" s="50">
        <v>511375</v>
      </c>
      <c r="Z157" s="50"/>
      <c r="AA157" s="50"/>
      <c r="AB157" s="78"/>
      <c r="AC157" s="34"/>
      <c r="AD157" s="34">
        <v>0</v>
      </c>
      <c r="AE157" s="34">
        <v>0</v>
      </c>
      <c r="AF157" s="34">
        <f>Project_List[[#This Row],[Professional Service Agreement (PSA) Amount]]+Project_List[[#This Row],[Engineer''s Est]]+Project_List[[#This Row],[Estimated COA
Engineering / 
Admin]]</f>
        <v>511375</v>
      </c>
      <c r="AG157" s="13">
        <f>Project_List[[#This Row],[Professional Service Agreement (PSA) Amount]]+Project_List[[#This Row],[Final Construction Costs]]+Project_List[[#This Row],[Estimated COA
Engineering / 
Admin]]</f>
        <v>0</v>
      </c>
      <c r="AH157" s="13">
        <f>Project_List[[#This Row],[Overall Budget]]-Project_List[[#This Row],[Total Anticipated Costs (PSA+Est+COA Est)]]-Project_List[[#This Row],[Anticipated Costs Unincombered]]</f>
        <v>625</v>
      </c>
      <c r="AI157" s="4"/>
      <c r="AJ157" s="51"/>
      <c r="AK157" s="36" t="s">
        <v>13</v>
      </c>
      <c r="AL157" s="1">
        <v>0</v>
      </c>
    </row>
    <row r="158" spans="1:38" ht="30" x14ac:dyDescent="0.25">
      <c r="A158" s="1" t="s">
        <v>273</v>
      </c>
      <c r="B158" s="5">
        <v>520</v>
      </c>
      <c r="C158" s="30" t="str">
        <f>LOOKUP(Project_List[[#This Row],[Fund No.]],'Code Lookup'!A$9:A$53,'Code Lookup'!B$9:B$53)</f>
        <v>Sewer Utility</v>
      </c>
      <c r="D158" s="1" t="s">
        <v>322</v>
      </c>
      <c r="E158" s="30" t="s">
        <v>589</v>
      </c>
      <c r="F158" s="1" t="s">
        <v>66</v>
      </c>
      <c r="G158" s="1" t="s">
        <v>582</v>
      </c>
      <c r="H158" s="32" t="s">
        <v>36</v>
      </c>
      <c r="I158" s="32">
        <v>53000</v>
      </c>
      <c r="J158" s="30"/>
      <c r="K158" s="8" t="s">
        <v>16</v>
      </c>
      <c r="L158" s="15">
        <v>0</v>
      </c>
      <c r="M158" s="24">
        <v>0</v>
      </c>
      <c r="N158" s="5" t="s">
        <v>273</v>
      </c>
      <c r="O158" s="5" t="s">
        <v>273</v>
      </c>
      <c r="P158" s="48"/>
      <c r="Q158" s="48"/>
      <c r="R158" s="48" t="s">
        <v>258</v>
      </c>
      <c r="S158" s="48">
        <v>46568</v>
      </c>
      <c r="T158" s="49"/>
      <c r="U158" s="49" t="s">
        <v>4</v>
      </c>
      <c r="V158" s="5"/>
      <c r="W158" s="5" t="s">
        <v>10</v>
      </c>
      <c r="X158" s="1" t="s">
        <v>10</v>
      </c>
      <c r="Y158" s="50">
        <v>52500</v>
      </c>
      <c r="Z158" s="50"/>
      <c r="AA158" s="50"/>
      <c r="AB158" s="78"/>
      <c r="AC158" s="34"/>
      <c r="AD158" s="34">
        <v>0</v>
      </c>
      <c r="AE158" s="34">
        <v>0</v>
      </c>
      <c r="AF158" s="34">
        <f>Project_List[[#This Row],[Professional Service Agreement (PSA) Amount]]+Project_List[[#This Row],[Engineer''s Est]]+Project_List[[#This Row],[Estimated COA
Engineering / 
Admin]]</f>
        <v>52500</v>
      </c>
      <c r="AG158" s="13">
        <f>Project_List[[#This Row],[Professional Service Agreement (PSA) Amount]]+Project_List[[#This Row],[Final Construction Costs]]+Project_List[[#This Row],[Estimated COA
Engineering / 
Admin]]</f>
        <v>0</v>
      </c>
      <c r="AH158" s="13">
        <f>Project_List[[#This Row],[Overall Budget]]-Project_List[[#This Row],[Total Anticipated Costs (PSA+Est+COA Est)]]-Project_List[[#This Row],[Anticipated Costs Unincombered]]</f>
        <v>500</v>
      </c>
      <c r="AI158" s="4"/>
      <c r="AJ158" s="51"/>
      <c r="AK158" s="36" t="s">
        <v>13</v>
      </c>
      <c r="AL158" s="1">
        <v>0</v>
      </c>
    </row>
    <row r="159" spans="1:38" x14ac:dyDescent="0.25">
      <c r="A159" s="1" t="s">
        <v>273</v>
      </c>
      <c r="B159" s="5">
        <v>560</v>
      </c>
      <c r="C159" s="30" t="str">
        <f>LOOKUP(Project_List[[#This Row],[Fund No.]],'Code Lookup'!A$9:A$53,'Code Lookup'!B$9:B$53)</f>
        <v>Stormwater Utility</v>
      </c>
      <c r="D159" s="1" t="s">
        <v>68</v>
      </c>
      <c r="E159" s="30" t="s">
        <v>532</v>
      </c>
      <c r="F159" s="1" t="s">
        <v>333</v>
      </c>
      <c r="G159" s="1" t="s">
        <v>531</v>
      </c>
      <c r="H159" s="32" t="s">
        <v>211</v>
      </c>
      <c r="I159" s="32">
        <v>50000</v>
      </c>
      <c r="J159" s="30"/>
      <c r="K159" s="8" t="s">
        <v>4</v>
      </c>
      <c r="L159" s="15">
        <v>0</v>
      </c>
      <c r="M159" s="24"/>
      <c r="N159" s="5" t="s">
        <v>273</v>
      </c>
      <c r="O159" s="5" t="s">
        <v>273</v>
      </c>
      <c r="P159" s="48"/>
      <c r="Q159" s="48"/>
      <c r="R159" s="48" t="s">
        <v>273</v>
      </c>
      <c r="S159" s="48"/>
      <c r="T159" s="49"/>
      <c r="U159" s="49"/>
      <c r="V159" s="5"/>
      <c r="W159" s="5"/>
      <c r="Y159" s="50">
        <v>10000</v>
      </c>
      <c r="Z159" s="50"/>
      <c r="AA159" s="50"/>
      <c r="AB159" s="78"/>
      <c r="AC159" s="34"/>
      <c r="AD159" s="34">
        <v>40000</v>
      </c>
      <c r="AE159" s="34"/>
      <c r="AF159" s="34">
        <f>Project_List[[#This Row],[Professional Service Agreement (PSA) Amount]]+Project_List[[#This Row],[Engineer''s Est]]+Project_List[[#This Row],[Estimated COA
Engineering / 
Admin]]</f>
        <v>50000</v>
      </c>
      <c r="AG159" s="14">
        <f>Project_List[[#This Row],[Professional Service Agreement (PSA) Amount]]+Project_List[[#This Row],[Final Construction Costs]]+Project_List[[#This Row],[Estimated COA
Engineering / 
Admin]]</f>
        <v>40000</v>
      </c>
      <c r="AH159" s="14">
        <f>Project_List[[#This Row],[Overall Budget]]-Project_List[[#This Row],[Total Anticipated Costs (PSA+Est+COA Est)]]-Project_List[[#This Row],[Anticipated Costs Unincombered]]</f>
        <v>0</v>
      </c>
      <c r="AI159" s="5"/>
      <c r="AJ159" s="51"/>
      <c r="AK159" s="36"/>
      <c r="AL159" s="1">
        <v>0</v>
      </c>
    </row>
    <row r="160" spans="1:38" ht="30" x14ac:dyDescent="0.25">
      <c r="A160" s="1" t="s">
        <v>273</v>
      </c>
      <c r="B160" s="5">
        <v>520</v>
      </c>
      <c r="C160" s="30" t="str">
        <f>LOOKUP(Project_List[[#This Row],[Fund No.]],'Code Lookup'!A$9:A$53,'Code Lookup'!B$9:B$53)</f>
        <v>Sewer Utility</v>
      </c>
      <c r="D160" s="1" t="s">
        <v>322</v>
      </c>
      <c r="E160" s="30" t="s">
        <v>510</v>
      </c>
      <c r="F160" s="1" t="s">
        <v>333</v>
      </c>
      <c r="G160" s="1" t="s">
        <v>531</v>
      </c>
      <c r="H160" s="32" t="s">
        <v>211</v>
      </c>
      <c r="I160" s="32">
        <v>75000</v>
      </c>
      <c r="J160" s="30"/>
      <c r="K160" s="8" t="s">
        <v>4</v>
      </c>
      <c r="L160" s="15">
        <v>0</v>
      </c>
      <c r="M160" s="24"/>
      <c r="N160" s="5" t="s">
        <v>273</v>
      </c>
      <c r="O160" s="5" t="s">
        <v>273</v>
      </c>
      <c r="P160" s="48"/>
      <c r="Q160" s="48"/>
      <c r="R160" s="48" t="s">
        <v>273</v>
      </c>
      <c r="S160" s="48"/>
      <c r="T160" s="49"/>
      <c r="U160" s="49"/>
      <c r="V160" s="5"/>
      <c r="W160" s="5"/>
      <c r="X160" s="28"/>
      <c r="Y160" s="50">
        <v>35000</v>
      </c>
      <c r="Z160" s="50"/>
      <c r="AA160" s="50"/>
      <c r="AB160" s="78"/>
      <c r="AC160" s="34"/>
      <c r="AD160" s="34">
        <v>40000</v>
      </c>
      <c r="AE160" s="34"/>
      <c r="AF160" s="34">
        <f>Project_List[[#This Row],[Professional Service Agreement (PSA) Amount]]+Project_List[[#This Row],[Engineer''s Est]]+Project_List[[#This Row],[Estimated COA
Engineering / 
Admin]]</f>
        <v>75000</v>
      </c>
      <c r="AG160" s="14">
        <f>Project_List[[#This Row],[Professional Service Agreement (PSA) Amount]]+Project_List[[#This Row],[Final Construction Costs]]+Project_List[[#This Row],[Estimated COA
Engineering / 
Admin]]</f>
        <v>40000</v>
      </c>
      <c r="AH160" s="14">
        <f>Project_List[[#This Row],[Overall Budget]]-Project_List[[#This Row],[Total Anticipated Costs (PSA+Est+COA Est)]]-Project_List[[#This Row],[Anticipated Costs Unincombered]]</f>
        <v>0</v>
      </c>
      <c r="AI160" s="5"/>
      <c r="AJ160" s="51"/>
      <c r="AK160" s="36"/>
      <c r="AL160" s="1">
        <v>0</v>
      </c>
    </row>
    <row r="161" spans="1:38" ht="30" x14ac:dyDescent="0.25">
      <c r="A161" s="1" t="s">
        <v>273</v>
      </c>
      <c r="B161" s="5">
        <v>60</v>
      </c>
      <c r="C161" s="30" t="str">
        <f>LOOKUP(Project_List[[#This Row],[Fund No.]],'Code Lookup'!A$9:A$53,'Code Lookup'!B$9:B$53)</f>
        <v>Road Use Tax</v>
      </c>
      <c r="D161" s="1" t="s">
        <v>30</v>
      </c>
      <c r="E161" s="30" t="s">
        <v>441</v>
      </c>
      <c r="F161" s="1" t="s">
        <v>333</v>
      </c>
      <c r="G161" s="1" t="s">
        <v>531</v>
      </c>
      <c r="H161" s="32" t="s">
        <v>211</v>
      </c>
      <c r="I161" s="32">
        <v>125000</v>
      </c>
      <c r="J161" s="30"/>
      <c r="K161" s="8" t="s">
        <v>4</v>
      </c>
      <c r="L161" s="15">
        <v>0</v>
      </c>
      <c r="M161" s="24"/>
      <c r="N161" s="5" t="s">
        <v>273</v>
      </c>
      <c r="O161" s="5" t="s">
        <v>273</v>
      </c>
      <c r="P161" s="48"/>
      <c r="Q161" s="48"/>
      <c r="R161" s="48" t="s">
        <v>273</v>
      </c>
      <c r="S161" s="48"/>
      <c r="T161" s="49"/>
      <c r="U161" s="49"/>
      <c r="V161" s="5"/>
      <c r="W161" s="5"/>
      <c r="Y161" s="50">
        <v>85000</v>
      </c>
      <c r="Z161" s="50"/>
      <c r="AA161" s="50"/>
      <c r="AB161" s="78"/>
      <c r="AC161" s="34"/>
      <c r="AD161" s="34">
        <v>40000</v>
      </c>
      <c r="AE161" s="34"/>
      <c r="AF161" s="34">
        <f>Project_List[[#This Row],[Professional Service Agreement (PSA) Amount]]+Project_List[[#This Row],[Engineer''s Est]]+Project_List[[#This Row],[Estimated COA
Engineering / 
Admin]]</f>
        <v>125000</v>
      </c>
      <c r="AG161" s="14">
        <f>Project_List[[#This Row],[Professional Service Agreement (PSA) Amount]]+Project_List[[#This Row],[Final Construction Costs]]+Project_List[[#This Row],[Estimated COA
Engineering / 
Admin]]</f>
        <v>40000</v>
      </c>
      <c r="AH161" s="14">
        <f>Project_List[[#This Row],[Overall Budget]]-Project_List[[#This Row],[Total Anticipated Costs (PSA+Est+COA Est)]]-Project_List[[#This Row],[Anticipated Costs Unincombered]]</f>
        <v>0</v>
      </c>
      <c r="AI161" s="5"/>
      <c r="AJ161" s="51"/>
      <c r="AK161" s="36"/>
      <c r="AL161" s="1">
        <v>0</v>
      </c>
    </row>
    <row r="162" spans="1:38" ht="30" x14ac:dyDescent="0.25">
      <c r="A162" s="1" t="s">
        <v>273</v>
      </c>
      <c r="B162" s="5">
        <v>510</v>
      </c>
      <c r="C162" s="30" t="str">
        <f>LOOKUP(Project_List[[#This Row],[Fund No.]],'Code Lookup'!A$9:A$53,'Code Lookup'!B$9:B$53)</f>
        <v>Water Utility</v>
      </c>
      <c r="D162" s="1" t="s">
        <v>64</v>
      </c>
      <c r="E162" s="30" t="s">
        <v>509</v>
      </c>
      <c r="F162" s="1" t="s">
        <v>333</v>
      </c>
      <c r="G162" s="1" t="s">
        <v>531</v>
      </c>
      <c r="H162" s="32" t="s">
        <v>211</v>
      </c>
      <c r="I162" s="32">
        <v>75000</v>
      </c>
      <c r="J162" s="30"/>
      <c r="K162" s="8" t="s">
        <v>4</v>
      </c>
      <c r="L162" s="15">
        <v>0</v>
      </c>
      <c r="M162" s="24"/>
      <c r="N162" s="5" t="s">
        <v>273</v>
      </c>
      <c r="O162" s="5" t="s">
        <v>273</v>
      </c>
      <c r="P162" s="48"/>
      <c r="Q162" s="48"/>
      <c r="R162" s="48" t="s">
        <v>273</v>
      </c>
      <c r="S162" s="48"/>
      <c r="T162" s="49"/>
      <c r="U162" s="49"/>
      <c r="V162" s="5"/>
      <c r="W162" s="5"/>
      <c r="Y162" s="50">
        <v>35000</v>
      </c>
      <c r="Z162" s="50"/>
      <c r="AA162" s="50"/>
      <c r="AB162" s="78"/>
      <c r="AC162" s="34"/>
      <c r="AD162" s="34">
        <v>40000</v>
      </c>
      <c r="AE162" s="34"/>
      <c r="AF162" s="34">
        <f>Project_List[[#This Row],[Professional Service Agreement (PSA) Amount]]+Project_List[[#This Row],[Engineer''s Est]]+Project_List[[#This Row],[Estimated COA
Engineering / 
Admin]]</f>
        <v>75000</v>
      </c>
      <c r="AG162" s="14">
        <f>Project_List[[#This Row],[Professional Service Agreement (PSA) Amount]]+Project_List[[#This Row],[Final Construction Costs]]+Project_List[[#This Row],[Estimated COA
Engineering / 
Admin]]</f>
        <v>40000</v>
      </c>
      <c r="AH162" s="14">
        <f>Project_List[[#This Row],[Overall Budget]]-Project_List[[#This Row],[Total Anticipated Costs (PSA+Est+COA Est)]]-Project_List[[#This Row],[Anticipated Costs Unincombered]]</f>
        <v>0</v>
      </c>
      <c r="AI162" s="5"/>
      <c r="AJ162" s="51"/>
      <c r="AK162" s="36"/>
      <c r="AL162" s="1">
        <v>0</v>
      </c>
    </row>
    <row r="163" spans="1:38" ht="30" x14ac:dyDescent="0.25">
      <c r="A163" s="1" t="s">
        <v>273</v>
      </c>
      <c r="B163" s="5">
        <v>383</v>
      </c>
      <c r="C163" s="30" t="str">
        <f>LOOKUP(Project_List[[#This Row],[Fund No.]],'Code Lookup'!A$9:A$53,'Code Lookup'!B$9:B$53)</f>
        <v>2022/23 GO Bonds</v>
      </c>
      <c r="D163" s="1" t="s">
        <v>30</v>
      </c>
      <c r="E163" s="30" t="s">
        <v>472</v>
      </c>
      <c r="F163" s="1" t="s">
        <v>471</v>
      </c>
      <c r="G163" s="1" t="s">
        <v>473</v>
      </c>
      <c r="H163" s="32" t="s">
        <v>36</v>
      </c>
      <c r="I163" s="32">
        <v>250000</v>
      </c>
      <c r="J163" s="30"/>
      <c r="K163" s="8" t="s">
        <v>0</v>
      </c>
      <c r="L163" s="15">
        <v>0</v>
      </c>
      <c r="M163" s="24">
        <v>0</v>
      </c>
      <c r="N163" s="5" t="s">
        <v>273</v>
      </c>
      <c r="O163" s="5" t="s">
        <v>273</v>
      </c>
      <c r="P163" s="48"/>
      <c r="Q163" s="48"/>
      <c r="R163" s="48"/>
      <c r="S163" s="48"/>
      <c r="T163" s="49"/>
      <c r="U163" s="49" t="s">
        <v>0</v>
      </c>
      <c r="V163" s="5"/>
      <c r="W163" s="5" t="s">
        <v>10</v>
      </c>
      <c r="X163" s="28" t="s">
        <v>10</v>
      </c>
      <c r="Y163" s="50">
        <v>180000</v>
      </c>
      <c r="Z163" s="50"/>
      <c r="AA163" s="50"/>
      <c r="AB163" s="78"/>
      <c r="AC163" s="34"/>
      <c r="AD163" s="34">
        <v>24000</v>
      </c>
      <c r="AE163" s="34"/>
      <c r="AF163" s="34">
        <f>Project_List[[#This Row],[Professional Service Agreement (PSA) Amount]]+Project_List[[#This Row],[Engineer''s Est]]+Project_List[[#This Row],[Estimated COA
Engineering / 
Admin]]</f>
        <v>204000</v>
      </c>
      <c r="AG163" s="14">
        <f>Project_List[[#This Row],[Professional Service Agreement (PSA) Amount]]+Project_List[[#This Row],[Final Construction Costs]]+Project_List[[#This Row],[Estimated COA
Engineering / 
Admin]]</f>
        <v>24000</v>
      </c>
      <c r="AH163" s="14">
        <f>Project_List[[#This Row],[Overall Budget]]-Project_List[[#This Row],[Total Anticipated Costs (PSA+Est+COA Est)]]-Project_List[[#This Row],[Anticipated Costs Unincombered]]</f>
        <v>46000</v>
      </c>
      <c r="AI163" s="5"/>
      <c r="AJ163" s="51">
        <v>250000</v>
      </c>
      <c r="AK163" s="36"/>
      <c r="AL163" s="1">
        <f>COUNTA(_xlfn.UNIQUE(Project_List[[#This Row],[Project Name]]))</f>
        <v>1</v>
      </c>
    </row>
    <row r="164" spans="1:38" ht="30" x14ac:dyDescent="0.25">
      <c r="A164" s="43" t="s">
        <v>273</v>
      </c>
      <c r="B164" s="1">
        <v>60</v>
      </c>
      <c r="C164" s="1" t="str">
        <f>LOOKUP(Project_List[[#This Row],[Fund No.]],'Code Lookup'!A$9:A$53,'Code Lookup'!B$9:B$53)</f>
        <v>Road Use Tax</v>
      </c>
      <c r="D164" s="1" t="s">
        <v>292</v>
      </c>
      <c r="E164" s="1" t="s">
        <v>216</v>
      </c>
      <c r="F164" s="1" t="s">
        <v>218</v>
      </c>
      <c r="G164" s="1" t="s">
        <v>409</v>
      </c>
      <c r="H164" s="32" t="s">
        <v>36</v>
      </c>
      <c r="I164" s="32">
        <v>150000</v>
      </c>
      <c r="K164" s="8" t="s">
        <v>0</v>
      </c>
      <c r="L164" s="21">
        <v>0</v>
      </c>
      <c r="M164" s="23">
        <v>0</v>
      </c>
      <c r="N164" s="1" t="s">
        <v>273</v>
      </c>
      <c r="O164" s="1" t="s">
        <v>273</v>
      </c>
      <c r="P164" s="37"/>
      <c r="Q164" s="37"/>
      <c r="R164" s="48" t="s">
        <v>258</v>
      </c>
      <c r="S164" s="37"/>
      <c r="U164" s="32" t="s">
        <v>0</v>
      </c>
      <c r="W164" s="1" t="s">
        <v>10</v>
      </c>
      <c r="X164" s="1" t="s">
        <v>10</v>
      </c>
      <c r="Y164" s="13">
        <v>330959</v>
      </c>
      <c r="Z164" s="13"/>
      <c r="AA164" s="50"/>
      <c r="AB164" s="78"/>
      <c r="AC164" s="14"/>
      <c r="AD164" s="34">
        <v>0</v>
      </c>
      <c r="AE164" s="34"/>
      <c r="AF164" s="14">
        <f>Project_List[[#This Row],[Professional Service Agreement (PSA) Amount]]+Project_List[[#This Row],[Engineer''s Est]]+Project_List[[#This Row],[Estimated COA
Engineering / 
Admin]]</f>
        <v>330959</v>
      </c>
      <c r="AG164" s="13">
        <f>Project_List[[#This Row],[Professional Service Agreement (PSA) Amount]]+Project_List[[#This Row],[Final Construction Costs]]+Project_List[[#This Row],[Estimated COA
Engineering / 
Admin]]</f>
        <v>0</v>
      </c>
      <c r="AH164" s="50">
        <f>Project_List[[#This Row],[Overall Budget]]-Project_List[[#This Row],[Total Anticipated Costs (PSA+Est+COA Est)]]-Project_List[[#This Row],[Anticipated Costs Unincombered]]</f>
        <v>-180959</v>
      </c>
      <c r="AI164" s="2"/>
      <c r="AJ164" s="36">
        <v>481421</v>
      </c>
      <c r="AK164" s="51" t="s">
        <v>10</v>
      </c>
      <c r="AL164" s="1">
        <v>1</v>
      </c>
    </row>
    <row r="165" spans="1:38" ht="30" x14ac:dyDescent="0.25">
      <c r="A165" s="1" t="s">
        <v>273</v>
      </c>
      <c r="B165" s="5">
        <v>386</v>
      </c>
      <c r="C165" s="30" t="str">
        <f>LOOKUP(Project_List[[#This Row],[Fund No.]],'Code Lookup'!A$9:A$53,'Code Lookup'!B$9:B$53)</f>
        <v>2025/26 GO Bonds</v>
      </c>
      <c r="D165" s="1" t="s">
        <v>30</v>
      </c>
      <c r="E165" s="30" t="s">
        <v>467</v>
      </c>
      <c r="F165" s="1" t="s">
        <v>316</v>
      </c>
      <c r="G165" s="1" t="s">
        <v>409</v>
      </c>
      <c r="H165" s="32" t="s">
        <v>36</v>
      </c>
      <c r="I165" s="32">
        <v>1000000</v>
      </c>
      <c r="J165" s="30"/>
      <c r="K165" s="8" t="s">
        <v>0</v>
      </c>
      <c r="L165" s="15">
        <v>0</v>
      </c>
      <c r="M165" s="24">
        <v>0</v>
      </c>
      <c r="N165" s="5" t="s">
        <v>273</v>
      </c>
      <c r="O165" s="5" t="s">
        <v>273</v>
      </c>
      <c r="P165" s="48"/>
      <c r="Q165" s="48"/>
      <c r="R165" s="48" t="s">
        <v>258</v>
      </c>
      <c r="S165" s="48"/>
      <c r="T165" s="49"/>
      <c r="U165" s="49" t="s">
        <v>0</v>
      </c>
      <c r="V165" s="5"/>
      <c r="W165" s="5" t="s">
        <v>10</v>
      </c>
      <c r="X165" s="28" t="s">
        <v>10</v>
      </c>
      <c r="Y165" s="50">
        <v>1884000</v>
      </c>
      <c r="Z165" s="50"/>
      <c r="AA165" s="50"/>
      <c r="AB165" s="78"/>
      <c r="AC165" s="34"/>
      <c r="AD165" s="34">
        <v>200000</v>
      </c>
      <c r="AE165" s="34"/>
      <c r="AF165" s="34">
        <f>Project_List[[#This Row],[Professional Service Agreement (PSA) Amount]]+Project_List[[#This Row],[Engineer''s Est]]+Project_List[[#This Row],[Estimated COA
Engineering / 
Admin]]</f>
        <v>2084000</v>
      </c>
      <c r="AG165" s="13">
        <f>Project_List[[#This Row],[Professional Service Agreement (PSA) Amount]]+Project_List[[#This Row],[Final Construction Costs]]+Project_List[[#This Row],[Estimated COA
Engineering / 
Admin]]</f>
        <v>200000</v>
      </c>
      <c r="AH165" s="13">
        <f>Project_List[[#This Row],[Overall Budget]]-Project_List[[#This Row],[Total Anticipated Costs (PSA+Est+COA Est)]]-Project_List[[#This Row],[Anticipated Costs Unincombered]]</f>
        <v>-1084000</v>
      </c>
      <c r="AI165" s="4"/>
      <c r="AJ165" s="51">
        <v>1480000</v>
      </c>
      <c r="AK165" s="36" t="s">
        <v>10</v>
      </c>
      <c r="AL165" s="1">
        <v>0</v>
      </c>
    </row>
    <row r="166" spans="1:38" ht="30" x14ac:dyDescent="0.25">
      <c r="A166" s="1" t="s">
        <v>273</v>
      </c>
      <c r="B166" s="5">
        <v>510</v>
      </c>
      <c r="C166" s="30" t="str">
        <f>LOOKUP(Project_List[[#This Row],[Fund No.]],'Code Lookup'!A$9:A$53,'Code Lookup'!B$9:B$53)</f>
        <v>Water Utility</v>
      </c>
      <c r="D166" s="1" t="s">
        <v>64</v>
      </c>
      <c r="E166" s="30" t="s">
        <v>55</v>
      </c>
      <c r="F166" s="1" t="s">
        <v>90</v>
      </c>
      <c r="G166" s="1" t="s">
        <v>409</v>
      </c>
      <c r="H166" s="32" t="s">
        <v>36</v>
      </c>
      <c r="I166" s="32">
        <f>460000+220000</f>
        <v>680000</v>
      </c>
      <c r="J166" s="30"/>
      <c r="K166" s="8" t="s">
        <v>0</v>
      </c>
      <c r="L166" s="15">
        <v>0</v>
      </c>
      <c r="M166" s="24">
        <v>0</v>
      </c>
      <c r="N166" s="5" t="s">
        <v>273</v>
      </c>
      <c r="O166" s="5" t="s">
        <v>273</v>
      </c>
      <c r="P166" s="48"/>
      <c r="Q166" s="48"/>
      <c r="R166" s="48" t="s">
        <v>258</v>
      </c>
      <c r="S166" s="48"/>
      <c r="T166" s="49"/>
      <c r="U166" s="49" t="s">
        <v>0</v>
      </c>
      <c r="V166" s="5"/>
      <c r="W166" s="5" t="s">
        <v>10</v>
      </c>
      <c r="X166" s="1" t="s">
        <v>10</v>
      </c>
      <c r="Y166" s="50">
        <v>587875</v>
      </c>
      <c r="Z166" s="50"/>
      <c r="AA166" s="50"/>
      <c r="AB166" s="78"/>
      <c r="AC166" s="34"/>
      <c r="AD166" s="34">
        <v>0</v>
      </c>
      <c r="AE166" s="34"/>
      <c r="AF166" s="34">
        <f>Project_List[[#This Row],[Professional Service Agreement (PSA) Amount]]+Project_List[[#This Row],[Engineer''s Est]]+Project_List[[#This Row],[Estimated COA
Engineering / 
Admin]]</f>
        <v>587875</v>
      </c>
      <c r="AG166" s="13">
        <f>Project_List[[#This Row],[Professional Service Agreement (PSA) Amount]]+Project_List[[#This Row],[Final Construction Costs]]+Project_List[[#This Row],[Estimated COA
Engineering / 
Admin]]</f>
        <v>0</v>
      </c>
      <c r="AH166" s="13">
        <f>Project_List[[#This Row],[Overall Budget]]-Project_List[[#This Row],[Total Anticipated Costs (PSA+Est+COA Est)]]-Project_List[[#This Row],[Anticipated Costs Unincombered]]</f>
        <v>92125</v>
      </c>
      <c r="AI166" s="4"/>
      <c r="AJ166" s="51">
        <v>680000</v>
      </c>
      <c r="AK166" s="36" t="s">
        <v>10</v>
      </c>
      <c r="AL166" s="1">
        <v>0</v>
      </c>
    </row>
    <row r="167" spans="1:38" ht="30" x14ac:dyDescent="0.25">
      <c r="A167" s="1" t="s">
        <v>273</v>
      </c>
      <c r="B167" s="5">
        <v>520</v>
      </c>
      <c r="C167" s="30" t="str">
        <f>LOOKUP(Project_List[[#This Row],[Fund No.]],'Code Lookup'!A$9:A$53,'Code Lookup'!B$9:B$53)</f>
        <v>Sewer Utility</v>
      </c>
      <c r="D167" s="1" t="s">
        <v>322</v>
      </c>
      <c r="E167" s="30" t="s">
        <v>463</v>
      </c>
      <c r="F167" s="1" t="s">
        <v>133</v>
      </c>
      <c r="G167" s="1" t="s">
        <v>433</v>
      </c>
      <c r="H167" s="32" t="s">
        <v>36</v>
      </c>
      <c r="I167" s="32">
        <v>68000</v>
      </c>
      <c r="J167" s="30"/>
      <c r="K167" s="8" t="s">
        <v>16</v>
      </c>
      <c r="L167" s="15">
        <v>0</v>
      </c>
      <c r="M167" s="24"/>
      <c r="N167" s="5" t="s">
        <v>258</v>
      </c>
      <c r="O167" s="5" t="s">
        <v>258</v>
      </c>
      <c r="P167" s="48"/>
      <c r="Q167" s="48"/>
      <c r="R167" s="48" t="s">
        <v>278</v>
      </c>
      <c r="S167" s="48"/>
      <c r="T167" s="49"/>
      <c r="U167" s="49" t="s">
        <v>464</v>
      </c>
      <c r="V167" s="5"/>
      <c r="W167" s="5" t="s">
        <v>10</v>
      </c>
      <c r="X167" s="1" t="s">
        <v>10</v>
      </c>
      <c r="Y167" s="50">
        <v>68000</v>
      </c>
      <c r="Z167" s="50"/>
      <c r="AA167" s="50"/>
      <c r="AB167" s="78"/>
      <c r="AC167" s="34"/>
      <c r="AD167" s="34">
        <v>0</v>
      </c>
      <c r="AE167" s="34"/>
      <c r="AF167" s="34">
        <f>Project_List[[#This Row],[Professional Service Agreement (PSA) Amount]]+Project_List[[#This Row],[Engineer''s Est]]+Project_List[[#This Row],[Estimated COA
Engineering / 
Admin]]</f>
        <v>68000</v>
      </c>
      <c r="AG167" s="14">
        <f>Project_List[[#This Row],[Professional Service Agreement (PSA) Amount]]+Project_List[[#This Row],[Final Construction Costs]]+Project_List[[#This Row],[Estimated COA
Engineering / 
Admin]]</f>
        <v>0</v>
      </c>
      <c r="AH167" s="14">
        <f>Project_List[[#This Row],[Overall Budget]]-Project_List[[#This Row],[Total Anticipated Costs (PSA+Est+COA Est)]]-Project_List[[#This Row],[Anticipated Costs Unincombered]]</f>
        <v>0</v>
      </c>
      <c r="AI167" s="5"/>
      <c r="AJ167" s="51"/>
      <c r="AK167" s="36"/>
      <c r="AL167" s="1">
        <f>COUNTA(_xlfn.UNIQUE(Project_List[[#This Row],[Project Name]]))</f>
        <v>1</v>
      </c>
    </row>
    <row r="168" spans="1:38" ht="30" x14ac:dyDescent="0.25">
      <c r="A168" s="1" t="s">
        <v>273</v>
      </c>
      <c r="B168" s="5">
        <v>510</v>
      </c>
      <c r="C168" s="30" t="str">
        <f>LOOKUP(Project_List[[#This Row],[Fund No.]],'Code Lookup'!A$9:A$53,'Code Lookup'!B$9:B$53)</f>
        <v>Water Utility</v>
      </c>
      <c r="D168" s="1" t="s">
        <v>64</v>
      </c>
      <c r="E168" s="30" t="s">
        <v>462</v>
      </c>
      <c r="F168" s="1" t="s">
        <v>90</v>
      </c>
      <c r="G168" s="1" t="s">
        <v>433</v>
      </c>
      <c r="H168" s="32" t="s">
        <v>36</v>
      </c>
      <c r="I168" s="32">
        <f>600000*1.15</f>
        <v>690000</v>
      </c>
      <c r="J168" s="30"/>
      <c r="K168" s="8" t="s">
        <v>16</v>
      </c>
      <c r="L168" s="15">
        <v>0</v>
      </c>
      <c r="M168" s="24">
        <v>0</v>
      </c>
      <c r="N168" s="5" t="s">
        <v>258</v>
      </c>
      <c r="O168" s="5" t="s">
        <v>258</v>
      </c>
      <c r="P168" s="48"/>
      <c r="Q168" s="48"/>
      <c r="R168" s="48" t="s">
        <v>278</v>
      </c>
      <c r="S168" s="48"/>
      <c r="T168" s="49"/>
      <c r="U168" s="49" t="s">
        <v>464</v>
      </c>
      <c r="V168" s="5"/>
      <c r="W168" s="5" t="s">
        <v>10</v>
      </c>
      <c r="X168" s="28" t="s">
        <v>10</v>
      </c>
      <c r="Y168" s="50">
        <v>690000</v>
      </c>
      <c r="Z168" s="50"/>
      <c r="AA168" s="50"/>
      <c r="AB168" s="78"/>
      <c r="AC168" s="34"/>
      <c r="AD168" s="34">
        <v>0</v>
      </c>
      <c r="AE168" s="34"/>
      <c r="AF168" s="34">
        <f>Project_List[[#This Row],[Professional Service Agreement (PSA) Amount]]+Project_List[[#This Row],[Engineer''s Est]]+Project_List[[#This Row],[Estimated COA
Engineering / 
Admin]]</f>
        <v>690000</v>
      </c>
      <c r="AG168" s="14">
        <f>Project_List[[#This Row],[Professional Service Agreement (PSA) Amount]]+Project_List[[#This Row],[Final Construction Costs]]+Project_List[[#This Row],[Estimated COA
Engineering / 
Admin]]</f>
        <v>0</v>
      </c>
      <c r="AH168" s="13">
        <f>Project_List[[#This Row],[Overall Budget]]-Project_List[[#This Row],[Total Anticipated Costs (PSA+Est+COA Est)]]-Project_List[[#This Row],[Anticipated Costs Unincombered]]</f>
        <v>0</v>
      </c>
      <c r="AI168" s="5"/>
      <c r="AJ168" s="51"/>
      <c r="AK168" s="36"/>
      <c r="AL168" s="1">
        <v>0</v>
      </c>
    </row>
    <row r="169" spans="1:38" ht="25.5" customHeight="1" x14ac:dyDescent="0.25">
      <c r="A169" s="1" t="s">
        <v>273</v>
      </c>
      <c r="B169" s="5">
        <v>520</v>
      </c>
      <c r="C169" s="30" t="str">
        <f>LOOKUP(Project_List[[#This Row],[Fund No.]],'Code Lookup'!A$9:A$53,'Code Lookup'!B$9:B$53)</f>
        <v>Sewer Utility</v>
      </c>
      <c r="D169" s="1" t="s">
        <v>322</v>
      </c>
      <c r="E169" s="30" t="s">
        <v>501</v>
      </c>
      <c r="F169" s="1" t="s">
        <v>133</v>
      </c>
      <c r="G169" s="1" t="s">
        <v>460</v>
      </c>
      <c r="H169" s="32" t="s">
        <v>487</v>
      </c>
      <c r="I169" s="32">
        <v>400000</v>
      </c>
      <c r="J169" s="30"/>
      <c r="K169" s="8" t="s">
        <v>16</v>
      </c>
      <c r="L169" s="15">
        <v>14000</v>
      </c>
      <c r="M169" s="24">
        <v>7844</v>
      </c>
      <c r="N169" s="5" t="s">
        <v>273</v>
      </c>
      <c r="O169" s="5" t="s">
        <v>273</v>
      </c>
      <c r="P169" s="48"/>
      <c r="Q169" s="48"/>
      <c r="R169" s="48"/>
      <c r="S169" s="48"/>
      <c r="T169" s="49" t="s">
        <v>14</v>
      </c>
      <c r="U169" s="49" t="s">
        <v>461</v>
      </c>
      <c r="V169" s="5" t="s">
        <v>583</v>
      </c>
      <c r="W169" s="5"/>
      <c r="X169" s="28"/>
      <c r="Y169" s="50">
        <v>350000</v>
      </c>
      <c r="Z169" s="50">
        <v>322189.3</v>
      </c>
      <c r="AA169" s="50"/>
      <c r="AB169" s="78"/>
      <c r="AC169" s="34"/>
      <c r="AD169" s="34">
        <v>14000</v>
      </c>
      <c r="AE169" s="34"/>
      <c r="AF169" s="34">
        <f>Project_List[[#This Row],[Professional Service Agreement (PSA) Amount]]+Project_List[[#This Row],[Engineer''s Est]]+Project_List[[#This Row],[Estimated COA
Engineering / 
Admin]]</f>
        <v>378000</v>
      </c>
      <c r="AG169" s="14">
        <f>Project_List[[#This Row],[Professional Service Agreement (PSA) Amount]]+Project_List[[#This Row],[Final Construction Costs]]+Project_List[[#This Row],[Estimated COA
Engineering / 
Admin]]</f>
        <v>28000</v>
      </c>
      <c r="AH169" s="14">
        <f>Project_List[[#This Row],[Overall Budget]]-Project_List[[#This Row],[Total Anticipated Costs (PSA+Est+COA Est)]]-Project_List[[#This Row],[Anticipated Costs Unincombered]]</f>
        <v>22000</v>
      </c>
      <c r="AI169" s="5" t="s">
        <v>10</v>
      </c>
      <c r="AJ169" s="51">
        <v>386000</v>
      </c>
      <c r="AK169" s="36" t="s">
        <v>10</v>
      </c>
      <c r="AL169" s="1">
        <f>COUNTA(_xlfn.UNIQUE(Project_List[[#This Row],[Project Name]]))</f>
        <v>1</v>
      </c>
    </row>
    <row r="170" spans="1:38" ht="105" x14ac:dyDescent="0.25">
      <c r="A170" s="1" t="s">
        <v>273</v>
      </c>
      <c r="B170" s="5">
        <v>560</v>
      </c>
      <c r="C170" s="30" t="str">
        <f>LOOKUP(Project_List[[#This Row],[Fund No.]],'Code Lookup'!A$9:A$53,'Code Lookup'!B$9:B$53)</f>
        <v>Stormwater Utility</v>
      </c>
      <c r="D170" s="1" t="s">
        <v>68</v>
      </c>
      <c r="E170" s="30" t="s">
        <v>564</v>
      </c>
      <c r="F170" s="1" t="s">
        <v>324</v>
      </c>
      <c r="G170" s="1" t="s">
        <v>279</v>
      </c>
      <c r="H170" s="32" t="s">
        <v>36</v>
      </c>
      <c r="I170" s="32">
        <v>60000</v>
      </c>
      <c r="J170" s="30"/>
      <c r="K170" s="8" t="s">
        <v>45</v>
      </c>
      <c r="L170" s="15">
        <v>0</v>
      </c>
      <c r="M170" s="24"/>
      <c r="N170" s="5" t="s">
        <v>273</v>
      </c>
      <c r="O170" s="5" t="s">
        <v>273</v>
      </c>
      <c r="P170" s="48"/>
      <c r="Q170" s="48"/>
      <c r="R170" s="48" t="s">
        <v>258</v>
      </c>
      <c r="S170" s="48"/>
      <c r="T170" s="49"/>
      <c r="U170" s="49" t="s">
        <v>0</v>
      </c>
      <c r="V170" s="5"/>
      <c r="W170" s="5" t="s">
        <v>10</v>
      </c>
      <c r="X170" s="1" t="s">
        <v>10</v>
      </c>
      <c r="Y170" s="50">
        <v>57000</v>
      </c>
      <c r="Z170" s="50"/>
      <c r="AA170" s="50"/>
      <c r="AB170" s="78"/>
      <c r="AC170" s="34"/>
      <c r="AD170" s="34">
        <v>0</v>
      </c>
      <c r="AE170" s="34"/>
      <c r="AF170" s="34">
        <f>Project_List[[#This Row],[Professional Service Agreement (PSA) Amount]]+Project_List[[#This Row],[Engineer''s Est]]+Project_List[[#This Row],[Estimated COA
Engineering / 
Admin]]</f>
        <v>57000</v>
      </c>
      <c r="AG170" s="14">
        <f>Project_List[[#This Row],[Professional Service Agreement (PSA) Amount]]+Project_List[[#This Row],[Final Construction Costs]]+Project_List[[#This Row],[Estimated COA
Engineering / 
Admin]]</f>
        <v>0</v>
      </c>
      <c r="AH170" s="14">
        <f>Project_List[[#This Row],[Overall Budget]]-Project_List[[#This Row],[Total Anticipated Costs (PSA+Est+COA Est)]]-Project_List[[#This Row],[Anticipated Costs Unincombered]]</f>
        <v>3000</v>
      </c>
      <c r="AI170" s="5"/>
      <c r="AJ170" s="51"/>
      <c r="AK170" s="36" t="s">
        <v>13</v>
      </c>
      <c r="AL170" s="1">
        <v>0</v>
      </c>
    </row>
    <row r="171" spans="1:38" ht="105" x14ac:dyDescent="0.25">
      <c r="A171" s="1" t="s">
        <v>273</v>
      </c>
      <c r="B171" s="5">
        <v>520</v>
      </c>
      <c r="C171" s="30" t="str">
        <f>LOOKUP(Project_List[[#This Row],[Fund No.]],'Code Lookup'!A$9:A$53,'Code Lookup'!B$9:B$53)</f>
        <v>Sewer Utility</v>
      </c>
      <c r="D171" s="1" t="s">
        <v>322</v>
      </c>
      <c r="E171" s="30" t="s">
        <v>500</v>
      </c>
      <c r="F171" s="1" t="s">
        <v>133</v>
      </c>
      <c r="G171" s="1" t="s">
        <v>279</v>
      </c>
      <c r="H171" s="32" t="s">
        <v>36</v>
      </c>
      <c r="I171" s="32">
        <v>100000</v>
      </c>
      <c r="J171" s="30"/>
      <c r="K171" s="8" t="s">
        <v>45</v>
      </c>
      <c r="L171" s="15">
        <v>0</v>
      </c>
      <c r="M171" s="24"/>
      <c r="N171" s="5" t="s">
        <v>273</v>
      </c>
      <c r="O171" s="5" t="s">
        <v>273</v>
      </c>
      <c r="P171" s="48"/>
      <c r="Q171" s="48"/>
      <c r="R171" s="48" t="s">
        <v>258</v>
      </c>
      <c r="S171" s="48"/>
      <c r="T171" s="49"/>
      <c r="U171" s="49" t="s">
        <v>0</v>
      </c>
      <c r="V171" s="5"/>
      <c r="W171" s="5" t="s">
        <v>10</v>
      </c>
      <c r="X171" s="28" t="s">
        <v>10</v>
      </c>
      <c r="Y171" s="50">
        <v>80000</v>
      </c>
      <c r="Z171" s="50"/>
      <c r="AA171" s="50"/>
      <c r="AB171" s="78"/>
      <c r="AC171" s="34"/>
      <c r="AD171" s="34">
        <v>0</v>
      </c>
      <c r="AE171" s="34"/>
      <c r="AF171" s="34">
        <f>Project_List[[#This Row],[Professional Service Agreement (PSA) Amount]]+Project_List[[#This Row],[Engineer''s Est]]+Project_List[[#This Row],[Estimated COA
Engineering / 
Admin]]</f>
        <v>80000</v>
      </c>
      <c r="AG171" s="50">
        <f>Project_List[[#This Row],[Professional Service Agreement (PSA) Amount]]+Project_List[[#This Row],[Final Construction Costs]]+Project_List[[#This Row],[Estimated COA
Engineering / 
Admin]]</f>
        <v>0</v>
      </c>
      <c r="AH171" s="13">
        <f>Project_List[[#This Row],[Overall Budget]]-Project_List[[#This Row],[Total Anticipated Costs (PSA+Est+COA Est)]]-Project_List[[#This Row],[Anticipated Costs Unincombered]]</f>
        <v>20000</v>
      </c>
      <c r="AI171" s="4"/>
      <c r="AJ171" s="51"/>
      <c r="AK171" s="36" t="s">
        <v>13</v>
      </c>
      <c r="AL171" s="1">
        <v>0</v>
      </c>
    </row>
    <row r="172" spans="1:38" ht="105" x14ac:dyDescent="0.25">
      <c r="A172" s="1" t="s">
        <v>273</v>
      </c>
      <c r="B172" s="5">
        <v>386</v>
      </c>
      <c r="C172" s="30" t="str">
        <f>LOOKUP(Project_List[[#This Row],[Fund No.]],'Code Lookup'!A$9:A$53,'Code Lookup'!B$9:B$53)</f>
        <v>2025/26 GO Bonds</v>
      </c>
      <c r="D172" s="1" t="s">
        <v>30</v>
      </c>
      <c r="E172" s="30" t="s">
        <v>493</v>
      </c>
      <c r="F172" s="1" t="s">
        <v>63</v>
      </c>
      <c r="G172" s="1" t="s">
        <v>279</v>
      </c>
      <c r="H172" s="32" t="s">
        <v>36</v>
      </c>
      <c r="I172" s="32">
        <v>4000000</v>
      </c>
      <c r="J172" s="30"/>
      <c r="K172" s="8" t="s">
        <v>45</v>
      </c>
      <c r="L172" s="15">
        <v>302000</v>
      </c>
      <c r="M172" s="24"/>
      <c r="N172" s="5" t="s">
        <v>273</v>
      </c>
      <c r="O172" s="5" t="s">
        <v>273</v>
      </c>
      <c r="P172" s="48"/>
      <c r="Q172" s="48"/>
      <c r="R172" s="48" t="s">
        <v>258</v>
      </c>
      <c r="S172" s="48"/>
      <c r="T172" s="49"/>
      <c r="U172" s="49" t="s">
        <v>0</v>
      </c>
      <c r="V172" s="5"/>
      <c r="W172" s="5" t="s">
        <v>10</v>
      </c>
      <c r="X172" s="28" t="s">
        <v>10</v>
      </c>
      <c r="Y172" s="50">
        <v>3340000</v>
      </c>
      <c r="Z172" s="50"/>
      <c r="AA172" s="50"/>
      <c r="AB172" s="78"/>
      <c r="AC172" s="34"/>
      <c r="AD172" s="34">
        <v>300000</v>
      </c>
      <c r="AE172" s="34"/>
      <c r="AF172" s="34">
        <f>Project_List[[#This Row],[Professional Service Agreement (PSA) Amount]]+Project_List[[#This Row],[Engineer''s Est]]+Project_List[[#This Row],[Estimated COA
Engineering / 
Admin]]</f>
        <v>3942000</v>
      </c>
      <c r="AG172" s="50">
        <f>Project_List[[#This Row],[Professional Service Agreement (PSA) Amount]]+Project_List[[#This Row],[Final Construction Costs]]+Project_List[[#This Row],[Estimated COA
Engineering / 
Admin]]</f>
        <v>602000</v>
      </c>
      <c r="AH172" s="13">
        <f>Project_List[[#This Row],[Overall Budget]]-Project_List[[#This Row],[Total Anticipated Costs (PSA+Est+COA Est)]]-Project_List[[#This Row],[Anticipated Costs Unincombered]]</f>
        <v>58000</v>
      </c>
      <c r="AI172" s="4"/>
      <c r="AJ172" s="51"/>
      <c r="AK172" s="36" t="s">
        <v>13</v>
      </c>
      <c r="AL172" s="1">
        <v>1</v>
      </c>
    </row>
    <row r="173" spans="1:38" ht="105" x14ac:dyDescent="0.25">
      <c r="A173" s="52" t="s">
        <v>273</v>
      </c>
      <c r="B173" s="5">
        <v>510</v>
      </c>
      <c r="C173" s="5" t="str">
        <f>LOOKUP(Project_List[[#This Row],[Fund No.]],'Code Lookup'!A$9:A$53,'Code Lookup'!B$9:B$53)</f>
        <v>Water Utility</v>
      </c>
      <c r="D173" s="5" t="s">
        <v>64</v>
      </c>
      <c r="E173" s="5" t="s">
        <v>494</v>
      </c>
      <c r="F173" s="5" t="s">
        <v>90</v>
      </c>
      <c r="G173" s="5" t="s">
        <v>279</v>
      </c>
      <c r="H173" s="49" t="s">
        <v>36</v>
      </c>
      <c r="I173" s="49">
        <f>200000*1.15</f>
        <v>229999.99999999997</v>
      </c>
      <c r="J173" s="5"/>
      <c r="K173" s="53" t="s">
        <v>45</v>
      </c>
      <c r="L173" s="15">
        <v>0</v>
      </c>
      <c r="M173" s="24">
        <v>0</v>
      </c>
      <c r="N173" s="5" t="s">
        <v>273</v>
      </c>
      <c r="O173" s="5" t="s">
        <v>273</v>
      </c>
      <c r="P173" s="48"/>
      <c r="Q173" s="48"/>
      <c r="R173" s="48" t="s">
        <v>258</v>
      </c>
      <c r="S173" s="48"/>
      <c r="T173" s="49"/>
      <c r="U173" s="49" t="s">
        <v>0</v>
      </c>
      <c r="V173" s="5"/>
      <c r="W173" s="5" t="s">
        <v>10</v>
      </c>
      <c r="X173" s="1" t="s">
        <v>10</v>
      </c>
      <c r="Y173" s="50">
        <v>200000</v>
      </c>
      <c r="Z173" s="50"/>
      <c r="AA173" s="50"/>
      <c r="AB173" s="78"/>
      <c r="AC173" s="34"/>
      <c r="AD173" s="34">
        <v>0</v>
      </c>
      <c r="AE173" s="34"/>
      <c r="AF173" s="34">
        <f>Project_List[[#This Row],[Professional Service Agreement (PSA) Amount]]+Project_List[[#This Row],[Engineer''s Est]]+Project_List[[#This Row],[Estimated COA
Engineering / 
Admin]]</f>
        <v>200000</v>
      </c>
      <c r="AG173" s="34">
        <f>Project_List[[#This Row],[Professional Service Agreement (PSA) Amount]]+Project_List[[#This Row],[Final Construction Costs]]+Project_List[[#This Row],[Estimated COA
Engineering / 
Admin]]</f>
        <v>0</v>
      </c>
      <c r="AH173" s="13">
        <f>Project_List[[#This Row],[Overall Budget]]-Project_List[[#This Row],[Total Anticipated Costs (PSA+Est+COA Est)]]-Project_List[[#This Row],[Anticipated Costs Unincombered]]</f>
        <v>29999.999999999971</v>
      </c>
      <c r="AI173" s="5"/>
      <c r="AJ173" s="54"/>
      <c r="AK173" s="36" t="s">
        <v>13</v>
      </c>
      <c r="AL173" s="1">
        <v>0</v>
      </c>
    </row>
    <row r="174" spans="1:38" ht="30" x14ac:dyDescent="0.25">
      <c r="A174" s="52" t="s">
        <v>273</v>
      </c>
      <c r="B174" s="5">
        <v>520</v>
      </c>
      <c r="C174" s="5" t="str">
        <f>LOOKUP(Project_List[[#This Row],[Fund No.]],'Code Lookup'!A$9:A$53,'Code Lookup'!B$9:B$53)</f>
        <v>Sewer Utility</v>
      </c>
      <c r="D174" s="5" t="s">
        <v>322</v>
      </c>
      <c r="E174" s="5" t="s">
        <v>67</v>
      </c>
      <c r="F174" s="5" t="s">
        <v>133</v>
      </c>
      <c r="G174" s="5" t="s">
        <v>505</v>
      </c>
      <c r="H174" s="49" t="s">
        <v>36</v>
      </c>
      <c r="I174" s="49">
        <v>0</v>
      </c>
      <c r="J174" s="5"/>
      <c r="K174" s="53" t="s">
        <v>16</v>
      </c>
      <c r="L174" s="15">
        <f>6300+7100</f>
        <v>13400</v>
      </c>
      <c r="M174" s="24"/>
      <c r="N174" s="5" t="s">
        <v>273</v>
      </c>
      <c r="O174" s="5" t="s">
        <v>273</v>
      </c>
      <c r="P174" s="48"/>
      <c r="Q174" s="48"/>
      <c r="R174" s="48"/>
      <c r="S174" s="48"/>
      <c r="T174" s="49"/>
      <c r="U174" s="49" t="s">
        <v>461</v>
      </c>
      <c r="V174" s="5"/>
      <c r="W174" s="5"/>
      <c r="X174" s="28"/>
      <c r="Y174" s="50">
        <v>148640</v>
      </c>
      <c r="Z174" s="50"/>
      <c r="AA174" s="50"/>
      <c r="AB174" s="78"/>
      <c r="AC174" s="34"/>
      <c r="AD174" s="34">
        <v>15000</v>
      </c>
      <c r="AE174" s="34"/>
      <c r="AF174" s="34">
        <f>Project_List[[#This Row],[Professional Service Agreement (PSA) Amount]]+Project_List[[#This Row],[Engineer''s Est]]+Project_List[[#This Row],[Estimated COA
Engineering / 
Admin]]</f>
        <v>177040</v>
      </c>
      <c r="AG174" s="34">
        <f>Project_List[[#This Row],[Professional Service Agreement (PSA) Amount]]+Project_List[[#This Row],[Final Construction Costs]]+Project_List[[#This Row],[Estimated COA
Engineering / 
Admin]]</f>
        <v>28400</v>
      </c>
      <c r="AH174" s="14">
        <f>Project_List[[#This Row],[Overall Budget]]-Project_List[[#This Row],[Total Anticipated Costs (PSA+Est+COA Est)]]-Project_List[[#This Row],[Anticipated Costs Unincombered]]</f>
        <v>-177040</v>
      </c>
      <c r="AI174" s="5"/>
      <c r="AJ174" s="54"/>
      <c r="AK174" s="36"/>
      <c r="AL174" s="1">
        <f>COUNTA(_xlfn.UNIQUE(Project_List[[#This Row],[Project Name]]))</f>
        <v>1</v>
      </c>
    </row>
    <row r="175" spans="1:38" ht="30" x14ac:dyDescent="0.25">
      <c r="A175" s="52" t="s">
        <v>273</v>
      </c>
      <c r="B175" s="5">
        <v>560</v>
      </c>
      <c r="C175" s="5" t="str">
        <f>LOOKUP(Project_List[[#This Row],[Fund No.]],'Code Lookup'!A$9:A$53,'Code Lookup'!B$9:B$53)</f>
        <v>Stormwater Utility</v>
      </c>
      <c r="D175" s="5" t="s">
        <v>68</v>
      </c>
      <c r="E175" s="5" t="s">
        <v>584</v>
      </c>
      <c r="F175" s="5" t="s">
        <v>324</v>
      </c>
      <c r="G175" s="5" t="s">
        <v>560</v>
      </c>
      <c r="H175" s="49" t="s">
        <v>36</v>
      </c>
      <c r="I175" s="49">
        <v>270000</v>
      </c>
      <c r="J175" s="5"/>
      <c r="K175" s="53" t="s">
        <v>16</v>
      </c>
      <c r="L175" s="15">
        <v>0</v>
      </c>
      <c r="M175" s="24">
        <v>0</v>
      </c>
      <c r="N175" s="5" t="s">
        <v>273</v>
      </c>
      <c r="O175" s="5" t="s">
        <v>273</v>
      </c>
      <c r="P175" s="48"/>
      <c r="Q175" s="48"/>
      <c r="R175" s="48" t="s">
        <v>258</v>
      </c>
      <c r="S175" s="48">
        <v>46568</v>
      </c>
      <c r="T175" s="49"/>
      <c r="U175" s="49" t="s">
        <v>4</v>
      </c>
      <c r="V175" s="5"/>
      <c r="W175" s="5" t="s">
        <v>10</v>
      </c>
      <c r="X175" s="1" t="s">
        <v>10</v>
      </c>
      <c r="Y175" s="50">
        <v>268050</v>
      </c>
      <c r="Z175" s="50"/>
      <c r="AA175" s="50"/>
      <c r="AB175" s="78"/>
      <c r="AC175" s="34"/>
      <c r="AD175" s="34">
        <v>0</v>
      </c>
      <c r="AE175" s="34"/>
      <c r="AF175" s="34">
        <f>Project_List[[#This Row],[Professional Service Agreement (PSA) Amount]]+Project_List[[#This Row],[Engineer''s Est]]+Project_List[[#This Row],[Estimated COA
Engineering / 
Admin]]</f>
        <v>268050</v>
      </c>
      <c r="AG175" s="34">
        <f>Project_List[[#This Row],[Professional Service Agreement (PSA) Amount]]+Project_List[[#This Row],[Final Construction Costs]]+Project_List[[#This Row],[Estimated COA
Engineering / 
Admin]]</f>
        <v>0</v>
      </c>
      <c r="AH175" s="14">
        <f>Project_List[[#This Row],[Overall Budget]]-Project_List[[#This Row],[Total Anticipated Costs (PSA+Est+COA Est)]]-Project_List[[#This Row],[Anticipated Costs Unincombered]]</f>
        <v>1950</v>
      </c>
      <c r="AI175" s="5"/>
      <c r="AJ175" s="54"/>
      <c r="AK175" s="36"/>
      <c r="AL175" s="1">
        <v>0</v>
      </c>
    </row>
    <row r="176" spans="1:38" ht="30" x14ac:dyDescent="0.25">
      <c r="A176" s="52" t="s">
        <v>273</v>
      </c>
      <c r="B176" s="5">
        <v>520</v>
      </c>
      <c r="C176" s="5" t="str">
        <f>LOOKUP(Project_List[[#This Row],[Fund No.]],'Code Lookup'!A$9:A$53,'Code Lookup'!B$9:B$53)</f>
        <v>Sewer Utility</v>
      </c>
      <c r="D176" s="5" t="s">
        <v>322</v>
      </c>
      <c r="E176" s="5" t="s">
        <v>585</v>
      </c>
      <c r="F176" s="5" t="s">
        <v>133</v>
      </c>
      <c r="G176" s="5" t="s">
        <v>560</v>
      </c>
      <c r="H176" s="49" t="s">
        <v>36</v>
      </c>
      <c r="I176" s="49">
        <v>95000</v>
      </c>
      <c r="J176" s="5"/>
      <c r="K176" s="53" t="s">
        <v>16</v>
      </c>
      <c r="L176" s="15">
        <v>0</v>
      </c>
      <c r="M176" s="24">
        <v>0</v>
      </c>
      <c r="N176" s="5" t="s">
        <v>273</v>
      </c>
      <c r="O176" s="5" t="s">
        <v>273</v>
      </c>
      <c r="P176" s="48"/>
      <c r="Q176" s="48"/>
      <c r="R176" s="48" t="s">
        <v>258</v>
      </c>
      <c r="S176" s="48">
        <v>46568</v>
      </c>
      <c r="T176" s="49"/>
      <c r="U176" s="49" t="s">
        <v>4</v>
      </c>
      <c r="V176" s="5"/>
      <c r="W176" s="5" t="s">
        <v>10</v>
      </c>
      <c r="X176" s="28" t="s">
        <v>10</v>
      </c>
      <c r="Y176" s="50">
        <v>93000</v>
      </c>
      <c r="Z176" s="50"/>
      <c r="AA176" s="50"/>
      <c r="AB176" s="78"/>
      <c r="AC176" s="34"/>
      <c r="AD176" s="34">
        <v>0</v>
      </c>
      <c r="AE176" s="34"/>
      <c r="AF176" s="34">
        <f>Project_List[[#This Row],[Professional Service Agreement (PSA) Amount]]+Project_List[[#This Row],[Engineer''s Est]]+Project_List[[#This Row],[Estimated COA
Engineering / 
Admin]]</f>
        <v>93000</v>
      </c>
      <c r="AG176" s="34">
        <f>Project_List[[#This Row],[Professional Service Agreement (PSA) Amount]]+Project_List[[#This Row],[Final Construction Costs]]+Project_List[[#This Row],[Estimated COA
Engineering / 
Admin]]</f>
        <v>0</v>
      </c>
      <c r="AH176" s="14">
        <f>Project_List[[#This Row],[Overall Budget]]-Project_List[[#This Row],[Total Anticipated Costs (PSA+Est+COA Est)]]-Project_List[[#This Row],[Anticipated Costs Unincombered]]</f>
        <v>2000</v>
      </c>
      <c r="AI176" s="5"/>
      <c r="AJ176" s="54"/>
      <c r="AK176" s="36"/>
      <c r="AL176" s="1">
        <v>0</v>
      </c>
    </row>
    <row r="177" spans="1:38" ht="30" x14ac:dyDescent="0.25">
      <c r="A177" s="52" t="s">
        <v>273</v>
      </c>
      <c r="B177" s="5">
        <v>386</v>
      </c>
      <c r="C177" s="5" t="str">
        <f>LOOKUP(Project_List[[#This Row],[Fund No.]],'Code Lookup'!A$9:A$53,'Code Lookup'!B$9:B$53)</f>
        <v>2025/26 GO Bonds</v>
      </c>
      <c r="D177" s="5" t="s">
        <v>30</v>
      </c>
      <c r="E177" s="5" t="s">
        <v>495</v>
      </c>
      <c r="F177" s="5" t="s">
        <v>60</v>
      </c>
      <c r="G177" s="5" t="s">
        <v>560</v>
      </c>
      <c r="H177" s="49" t="s">
        <v>36</v>
      </c>
      <c r="I177" s="49">
        <v>1100000</v>
      </c>
      <c r="J177" s="5"/>
      <c r="K177" s="53" t="s">
        <v>16</v>
      </c>
      <c r="L177" s="15">
        <v>0</v>
      </c>
      <c r="M177" s="24">
        <v>0</v>
      </c>
      <c r="N177" s="5" t="s">
        <v>273</v>
      </c>
      <c r="O177" s="5" t="s">
        <v>273</v>
      </c>
      <c r="P177" s="48"/>
      <c r="Q177" s="48"/>
      <c r="R177" s="48" t="s">
        <v>258</v>
      </c>
      <c r="S177" s="48">
        <v>46568</v>
      </c>
      <c r="T177" s="49"/>
      <c r="U177" s="49" t="s">
        <v>4</v>
      </c>
      <c r="V177" s="5"/>
      <c r="W177" s="5" t="s">
        <v>10</v>
      </c>
      <c r="X177" s="1" t="s">
        <v>10</v>
      </c>
      <c r="Y177" s="50">
        <v>958272.13</v>
      </c>
      <c r="Z177" s="50"/>
      <c r="AA177" s="50"/>
      <c r="AB177" s="78"/>
      <c r="AC177" s="34"/>
      <c r="AD177" s="34">
        <v>130000</v>
      </c>
      <c r="AE177" s="34"/>
      <c r="AF177" s="34">
        <f>Project_List[[#This Row],[Professional Service Agreement (PSA) Amount]]+Project_List[[#This Row],[Engineer''s Est]]+Project_List[[#This Row],[Estimated COA
Engineering / 
Admin]]</f>
        <v>1088272.1299999999</v>
      </c>
      <c r="AG177" s="50">
        <f>Project_List[[#This Row],[Professional Service Agreement (PSA) Amount]]+Project_List[[#This Row],[Final Construction Costs]]+Project_List[[#This Row],[Estimated COA
Engineering / 
Admin]]</f>
        <v>130000</v>
      </c>
      <c r="AH177" s="13">
        <f>Project_List[[#This Row],[Overall Budget]]-Project_List[[#This Row],[Total Anticipated Costs (PSA+Est+COA Est)]]-Project_List[[#This Row],[Anticipated Costs Unincombered]]</f>
        <v>11727.870000000112</v>
      </c>
      <c r="AI177" s="4"/>
      <c r="AJ177" s="54">
        <f>3798501/2</f>
        <v>1899250.5</v>
      </c>
      <c r="AK177" s="36" t="s">
        <v>13</v>
      </c>
      <c r="AL177" s="1">
        <v>1</v>
      </c>
    </row>
    <row r="178" spans="1:38" ht="30" x14ac:dyDescent="0.25">
      <c r="A178" s="52" t="s">
        <v>273</v>
      </c>
      <c r="B178" s="5">
        <v>510</v>
      </c>
      <c r="C178" s="5" t="str">
        <f>LOOKUP(Project_List[[#This Row],[Fund No.]],'Code Lookup'!A$9:A$53,'Code Lookup'!B$9:B$53)</f>
        <v>Water Utility</v>
      </c>
      <c r="D178" s="5" t="s">
        <v>64</v>
      </c>
      <c r="E178" s="5" t="s">
        <v>586</v>
      </c>
      <c r="F178" s="5" t="s">
        <v>90</v>
      </c>
      <c r="G178" s="5" t="s">
        <v>560</v>
      </c>
      <c r="H178" s="49" t="s">
        <v>36</v>
      </c>
      <c r="I178" s="49">
        <v>340000</v>
      </c>
      <c r="J178" s="5"/>
      <c r="K178" s="53" t="s">
        <v>16</v>
      </c>
      <c r="L178" s="15">
        <v>0</v>
      </c>
      <c r="M178" s="24">
        <v>0</v>
      </c>
      <c r="N178" s="5" t="s">
        <v>273</v>
      </c>
      <c r="O178" s="5" t="s">
        <v>273</v>
      </c>
      <c r="P178" s="48"/>
      <c r="Q178" s="48"/>
      <c r="R178" s="48" t="s">
        <v>258</v>
      </c>
      <c r="S178" s="48">
        <v>46568</v>
      </c>
      <c r="T178" s="49"/>
      <c r="U178" s="49" t="s">
        <v>4</v>
      </c>
      <c r="V178" s="5"/>
      <c r="W178" s="5" t="s">
        <v>10</v>
      </c>
      <c r="X178" s="28" t="s">
        <v>10</v>
      </c>
      <c r="Y178" s="50">
        <v>333490</v>
      </c>
      <c r="Z178" s="50"/>
      <c r="AA178" s="50"/>
      <c r="AB178" s="78"/>
      <c r="AC178" s="34"/>
      <c r="AD178" s="34">
        <v>0</v>
      </c>
      <c r="AE178" s="34"/>
      <c r="AF178" s="34">
        <f>Project_List[[#This Row],[Professional Service Agreement (PSA) Amount]]+Project_List[[#This Row],[Engineer''s Est]]+Project_List[[#This Row],[Estimated COA
Engineering / 
Admin]]</f>
        <v>333490</v>
      </c>
      <c r="AG178" s="34">
        <f>Project_List[[#This Row],[Professional Service Agreement (PSA) Amount]]+Project_List[[#This Row],[Final Construction Costs]]+Project_List[[#This Row],[Estimated COA
Engineering / 
Admin]]</f>
        <v>0</v>
      </c>
      <c r="AH178" s="14">
        <f>Project_List[[#This Row],[Overall Budget]]-Project_List[[#This Row],[Total Anticipated Costs (PSA+Est+COA Est)]]-Project_List[[#This Row],[Anticipated Costs Unincombered]]</f>
        <v>6510</v>
      </c>
      <c r="AI178" s="5"/>
      <c r="AJ178" s="54"/>
      <c r="AK178" s="36"/>
      <c r="AL178" s="1">
        <v>0</v>
      </c>
    </row>
    <row r="179" spans="1:38" ht="30" x14ac:dyDescent="0.25">
      <c r="A179" s="52" t="s">
        <v>273</v>
      </c>
      <c r="B179" s="5">
        <v>560</v>
      </c>
      <c r="C179" s="5" t="str">
        <f>LOOKUP(Project_List[[#This Row],[Fund No.]],'Code Lookup'!A$9:A$53,'Code Lookup'!B$9:B$53)</f>
        <v>Stormwater Utility</v>
      </c>
      <c r="D179" s="5" t="s">
        <v>68</v>
      </c>
      <c r="E179" s="5" t="s">
        <v>308</v>
      </c>
      <c r="F179" s="5" t="s">
        <v>309</v>
      </c>
      <c r="G179" s="5" t="s">
        <v>577</v>
      </c>
      <c r="H179" s="49" t="s">
        <v>36</v>
      </c>
      <c r="I179" s="49">
        <v>100000</v>
      </c>
      <c r="J179" s="5"/>
      <c r="K179" s="53"/>
      <c r="L179" s="15"/>
      <c r="M179" s="24"/>
      <c r="N179" s="5" t="s">
        <v>273</v>
      </c>
      <c r="O179" s="5" t="s">
        <v>273</v>
      </c>
      <c r="P179" s="48"/>
      <c r="Q179" s="48"/>
      <c r="R179" s="48" t="s">
        <v>258</v>
      </c>
      <c r="S179" s="48">
        <v>46568</v>
      </c>
      <c r="T179" s="49"/>
      <c r="U179" s="49"/>
      <c r="V179" s="5"/>
      <c r="W179" s="5"/>
      <c r="Y179" s="50"/>
      <c r="Z179" s="50"/>
      <c r="AA179" s="50"/>
      <c r="AB179" s="78"/>
      <c r="AC179" s="34"/>
      <c r="AD179" s="34"/>
      <c r="AE179" s="34"/>
      <c r="AF179" s="34">
        <f>Project_List[[#This Row],[Professional Service Agreement (PSA) Amount]]+Project_List[[#This Row],[Engineer''s Est]]+Project_List[[#This Row],[Estimated COA
Engineering / 
Admin]]</f>
        <v>0</v>
      </c>
      <c r="AG179" s="34">
        <f>Project_List[[#This Row],[Professional Service Agreement (PSA) Amount]]+Project_List[[#This Row],[Final Construction Costs]]+Project_List[[#This Row],[Estimated COA
Engineering / 
Admin]]</f>
        <v>0</v>
      </c>
      <c r="AH179" s="14">
        <f>Project_List[[#This Row],[Overall Budget]]-Project_List[[#This Row],[Total Anticipated Costs (PSA+Est+COA Est)]]-Project_List[[#This Row],[Anticipated Costs Unincombered]]</f>
        <v>100000</v>
      </c>
      <c r="AI179" s="5"/>
      <c r="AJ179" s="54"/>
      <c r="AK179" s="36"/>
      <c r="AL179" s="1">
        <f>COUNTA(_xlfn.UNIQUE(Project_List[[#This Row],[Project Name]]))</f>
        <v>1</v>
      </c>
    </row>
    <row r="180" spans="1:38" ht="45" x14ac:dyDescent="0.25">
      <c r="A180" s="52" t="s">
        <v>273</v>
      </c>
      <c r="B180" s="5">
        <v>560</v>
      </c>
      <c r="C180" s="5" t="str">
        <f>LOOKUP(Project_List[[#This Row],[Fund No.]],'Code Lookup'!A$9:A$53,'Code Lookup'!B$9:B$53)</f>
        <v>Stormwater Utility</v>
      </c>
      <c r="D180" s="5" t="s">
        <v>68</v>
      </c>
      <c r="E180" s="5" t="s">
        <v>492</v>
      </c>
      <c r="F180" s="5" t="s">
        <v>202</v>
      </c>
      <c r="G180" s="5" t="s">
        <v>432</v>
      </c>
      <c r="H180" s="49" t="s">
        <v>36</v>
      </c>
      <c r="I180" s="49">
        <v>850000</v>
      </c>
      <c r="J180" s="5"/>
      <c r="K180" s="53" t="s">
        <v>498</v>
      </c>
      <c r="L180" s="15">
        <v>90000</v>
      </c>
      <c r="M180" s="24"/>
      <c r="N180" s="5" t="s">
        <v>273</v>
      </c>
      <c r="O180" s="5" t="s">
        <v>273</v>
      </c>
      <c r="P180" s="48"/>
      <c r="Q180" s="48"/>
      <c r="R180" s="48" t="s">
        <v>258</v>
      </c>
      <c r="S180" s="48">
        <v>46568</v>
      </c>
      <c r="T180" s="49"/>
      <c r="U180" s="49" t="s">
        <v>375</v>
      </c>
      <c r="V180" s="5"/>
      <c r="W180" s="5" t="s">
        <v>10</v>
      </c>
      <c r="X180" s="28" t="s">
        <v>10</v>
      </c>
      <c r="Y180" s="50">
        <f>Project_List[[#This Row],[Overall Budget]]-Project_List[[#This Row],[Professional Service Agreement (PSA) Amount]]-Project_List[[#This Row],[Estimated COA
Engineering / 
Admin]]</f>
        <v>670000</v>
      </c>
      <c r="Z180" s="50"/>
      <c r="AA180" s="50"/>
      <c r="AB180" s="78"/>
      <c r="AC180" s="34"/>
      <c r="AD180" s="34">
        <v>90000</v>
      </c>
      <c r="AE180" s="34"/>
      <c r="AF180" s="34">
        <f>Project_List[[#This Row],[Professional Service Agreement (PSA) Amount]]+Project_List[[#This Row],[Engineer''s Est]]+Project_List[[#This Row],[Estimated COA
Engineering / 
Admin]]</f>
        <v>850000</v>
      </c>
      <c r="AG180" s="50">
        <f>Project_List[[#This Row],[Professional Service Agreement (PSA) Amount]]+Project_List[[#This Row],[Final Construction Costs]]+Project_List[[#This Row],[Estimated COA
Engineering / 
Admin]]</f>
        <v>180000</v>
      </c>
      <c r="AH180" s="13">
        <f>Project_List[[#This Row],[Overall Budget]]-Project_List[[#This Row],[Total Anticipated Costs (PSA+Est+COA Est)]]-Project_List[[#This Row],[Anticipated Costs Unincombered]]</f>
        <v>0</v>
      </c>
      <c r="AI180" s="4"/>
      <c r="AJ180" s="54">
        <v>612000</v>
      </c>
      <c r="AK180" s="36" t="s">
        <v>13</v>
      </c>
      <c r="AL180" s="1">
        <v>1</v>
      </c>
    </row>
    <row r="181" spans="1:38" ht="30" x14ac:dyDescent="0.25">
      <c r="A181" s="52" t="s">
        <v>258</v>
      </c>
      <c r="B181" s="5">
        <v>320</v>
      </c>
      <c r="C181" s="5" t="str">
        <f>LOOKUP(Project_List[[#This Row],[Fund No.]],'Code Lookup'!A$9:A$53,'Code Lookup'!B$9:B$53)</f>
        <v>Street Construction</v>
      </c>
      <c r="D181" s="5" t="s">
        <v>30</v>
      </c>
      <c r="E181" s="5" t="s">
        <v>507</v>
      </c>
      <c r="F181" s="5" t="s">
        <v>61</v>
      </c>
      <c r="G181" s="5" t="s">
        <v>414</v>
      </c>
      <c r="H181" s="49" t="s">
        <v>211</v>
      </c>
      <c r="I181" s="49">
        <v>2880000</v>
      </c>
      <c r="J181" s="5"/>
      <c r="K181" s="53"/>
      <c r="L181" s="15"/>
      <c r="M181" s="24"/>
      <c r="N181" s="5" t="s">
        <v>258</v>
      </c>
      <c r="O181" s="5" t="s">
        <v>258</v>
      </c>
      <c r="P181" s="48"/>
      <c r="Q181" s="48"/>
      <c r="R181" s="48" t="s">
        <v>278</v>
      </c>
      <c r="S181" s="48"/>
      <c r="T181" s="49"/>
      <c r="U181" s="49" t="s">
        <v>4</v>
      </c>
      <c r="V181" s="5"/>
      <c r="W181" s="5"/>
      <c r="X181" s="1" t="s">
        <v>13</v>
      </c>
      <c r="Y181" s="50"/>
      <c r="Z181" s="50"/>
      <c r="AA181" s="50"/>
      <c r="AB181" s="78"/>
      <c r="AC181" s="34"/>
      <c r="AD181" s="34"/>
      <c r="AE181" s="34"/>
      <c r="AF181" s="34">
        <f>Project_List[[#This Row],[Professional Service Agreement (PSA) Amount]]+Project_List[[#This Row],[Engineer''s Est]]+Project_List[[#This Row],[Estimated COA
Engineering / 
Admin]]</f>
        <v>0</v>
      </c>
      <c r="AG181" s="50">
        <f>Project_List[[#This Row],[Professional Service Agreement (PSA) Amount]]+Project_List[[#This Row],[Final Construction Costs]]+Project_List[[#This Row],[Estimated COA
Engineering / 
Admin]]</f>
        <v>0</v>
      </c>
      <c r="AH181" s="13">
        <f>Project_List[[#This Row],[Overall Budget]]-Project_List[[#This Row],[Total Anticipated Costs (PSA+Est+COA Est)]]-Project_List[[#This Row],[Anticipated Costs Unincombered]]</f>
        <v>2880000</v>
      </c>
      <c r="AI181" s="4"/>
      <c r="AJ181" s="54"/>
      <c r="AK181" s="36" t="s">
        <v>13</v>
      </c>
      <c r="AL181" s="1">
        <v>0</v>
      </c>
    </row>
    <row r="182" spans="1:38" ht="30" x14ac:dyDescent="0.25">
      <c r="A182" s="52" t="s">
        <v>258</v>
      </c>
      <c r="B182" s="5">
        <v>387</v>
      </c>
      <c r="C182" s="5" t="str">
        <f>LOOKUP(Project_List[[#This Row],[Fund No.]],'Code Lookup'!A$9:A$53,'Code Lookup'!B$9:B$53)</f>
        <v>2026/27 GO Bonds</v>
      </c>
      <c r="D182" s="5" t="s">
        <v>30</v>
      </c>
      <c r="E182" s="5" t="s">
        <v>508</v>
      </c>
      <c r="F182" s="5" t="s">
        <v>61</v>
      </c>
      <c r="G182" s="5" t="s">
        <v>414</v>
      </c>
      <c r="H182" s="49" t="s">
        <v>211</v>
      </c>
      <c r="I182" s="49">
        <v>1260000</v>
      </c>
      <c r="J182" s="5"/>
      <c r="K182" s="53"/>
      <c r="L182" s="15"/>
      <c r="M182" s="24"/>
      <c r="N182" s="5" t="s">
        <v>258</v>
      </c>
      <c r="O182" s="5" t="s">
        <v>258</v>
      </c>
      <c r="P182" s="48"/>
      <c r="Q182" s="48"/>
      <c r="R182" s="48" t="s">
        <v>278</v>
      </c>
      <c r="S182" s="48"/>
      <c r="T182" s="49"/>
      <c r="U182" s="49" t="s">
        <v>4</v>
      </c>
      <c r="V182" s="5"/>
      <c r="W182" s="5"/>
      <c r="X182" s="28" t="s">
        <v>13</v>
      </c>
      <c r="Y182" s="50"/>
      <c r="Z182" s="50"/>
      <c r="AA182" s="50"/>
      <c r="AB182" s="78"/>
      <c r="AC182" s="34"/>
      <c r="AD182" s="34">
        <v>650000</v>
      </c>
      <c r="AE182" s="34"/>
      <c r="AF182" s="34">
        <f>Project_List[[#This Row],[Professional Service Agreement (PSA) Amount]]+Project_List[[#This Row],[Engineer''s Est]]+Project_List[[#This Row],[Estimated COA
Engineering / 
Admin]]</f>
        <v>650000</v>
      </c>
      <c r="AG182" s="34">
        <f>Project_List[[#This Row],[Professional Service Agreement (PSA) Amount]]+Project_List[[#This Row],[Final Construction Costs]]+Project_List[[#This Row],[Estimated COA
Engineering / 
Admin]]</f>
        <v>650000</v>
      </c>
      <c r="AH182" s="14">
        <f>Project_List[[#This Row],[Overall Budget]]-Project_List[[#This Row],[Total Anticipated Costs (PSA+Est+COA Est)]]-Project_List[[#This Row],[Anticipated Costs Unincombered]]</f>
        <v>610000</v>
      </c>
      <c r="AI182" s="5"/>
      <c r="AJ182" s="54"/>
      <c r="AK182" s="36"/>
      <c r="AL182" s="1">
        <v>1</v>
      </c>
    </row>
    <row r="183" spans="1:38" ht="60" x14ac:dyDescent="0.25">
      <c r="A183" s="52" t="s">
        <v>258</v>
      </c>
      <c r="B183" s="5">
        <v>387</v>
      </c>
      <c r="C183" s="5" t="str">
        <f>LOOKUP(Project_List[[#This Row],[Fund No.]],'Code Lookup'!A$9:A$53,'Code Lookup'!B$9:B$53)</f>
        <v>2026/27 GO Bonds</v>
      </c>
      <c r="D183" s="5" t="s">
        <v>30</v>
      </c>
      <c r="E183" s="5" t="s">
        <v>508</v>
      </c>
      <c r="F183" s="5" t="s">
        <v>63</v>
      </c>
      <c r="G183" s="5" t="s">
        <v>578</v>
      </c>
      <c r="H183" s="49" t="s">
        <v>211</v>
      </c>
      <c r="I183" s="49">
        <v>2340000</v>
      </c>
      <c r="J183" s="5"/>
      <c r="K183" s="53"/>
      <c r="L183" s="15"/>
      <c r="M183" s="24"/>
      <c r="N183" s="5" t="s">
        <v>258</v>
      </c>
      <c r="O183" s="5" t="s">
        <v>258</v>
      </c>
      <c r="P183" s="48"/>
      <c r="Q183" s="48"/>
      <c r="R183" s="48" t="s">
        <v>278</v>
      </c>
      <c r="S183" s="48"/>
      <c r="T183" s="49"/>
      <c r="U183" s="49"/>
      <c r="V183" s="5"/>
      <c r="W183" s="5"/>
      <c r="X183" s="1" t="s">
        <v>10</v>
      </c>
      <c r="Y183" s="50"/>
      <c r="Z183" s="50"/>
      <c r="AA183" s="50"/>
      <c r="AB183" s="78"/>
      <c r="AC183" s="34"/>
      <c r="AD183" s="34"/>
      <c r="AE183" s="34"/>
      <c r="AF183" s="34">
        <f>Project_List[[#This Row],[Professional Service Agreement (PSA) Amount]]+Project_List[[#This Row],[Engineer''s Est]]+Project_List[[#This Row],[Estimated COA
Engineering / 
Admin]]</f>
        <v>0</v>
      </c>
      <c r="AG183" s="50">
        <f>Project_List[[#This Row],[Professional Service Agreement (PSA) Amount]]+Project_List[[#This Row],[Final Construction Costs]]+Project_List[[#This Row],[Estimated COA
Engineering / 
Admin]]</f>
        <v>0</v>
      </c>
      <c r="AH183" s="13">
        <f>Project_List[[#This Row],[Overall Budget]]-Project_List[[#This Row],[Total Anticipated Costs (PSA+Est+COA Est)]]-Project_List[[#This Row],[Anticipated Costs Unincombered]]</f>
        <v>2340000</v>
      </c>
      <c r="AI183" s="4"/>
      <c r="AJ183" s="54"/>
      <c r="AK183" s="36" t="s">
        <v>10</v>
      </c>
      <c r="AL183" s="1">
        <v>1</v>
      </c>
    </row>
    <row r="184" spans="1:38" ht="30" x14ac:dyDescent="0.25">
      <c r="A184" s="52" t="s">
        <v>258</v>
      </c>
      <c r="B184" s="5">
        <v>520</v>
      </c>
      <c r="C184" s="5" t="str">
        <f>LOOKUP(Project_List[[#This Row],[Fund No.]],'Code Lookup'!A$9:A$53,'Code Lookup'!B$9:B$53)</f>
        <v>Sewer Utility</v>
      </c>
      <c r="D184" s="5" t="s">
        <v>322</v>
      </c>
      <c r="E184" s="5" t="s">
        <v>510</v>
      </c>
      <c r="F184" s="5" t="s">
        <v>66</v>
      </c>
      <c r="G184" s="5" t="s">
        <v>574</v>
      </c>
      <c r="H184" s="49" t="s">
        <v>211</v>
      </c>
      <c r="I184" s="49">
        <v>150000</v>
      </c>
      <c r="J184" s="5"/>
      <c r="K184" s="53"/>
      <c r="L184" s="15"/>
      <c r="M184" s="24"/>
      <c r="N184" s="5" t="s">
        <v>258</v>
      </c>
      <c r="O184" s="5" t="s">
        <v>258</v>
      </c>
      <c r="P184" s="48"/>
      <c r="Q184" s="48"/>
      <c r="R184" s="48" t="s">
        <v>278</v>
      </c>
      <c r="S184" s="48"/>
      <c r="T184" s="49"/>
      <c r="U184" s="49"/>
      <c r="V184" s="5"/>
      <c r="W184" s="5"/>
      <c r="X184" s="28" t="s">
        <v>10</v>
      </c>
      <c r="Y184" s="50"/>
      <c r="Z184" s="50"/>
      <c r="AA184" s="50"/>
      <c r="AB184" s="78"/>
      <c r="AC184" s="34"/>
      <c r="AD184" s="34"/>
      <c r="AE184" s="34"/>
      <c r="AF184" s="34">
        <f>Project_List[[#This Row],[Professional Service Agreement (PSA) Amount]]+Project_List[[#This Row],[Engineer''s Est]]+Project_List[[#This Row],[Estimated COA
Engineering / 
Admin]]</f>
        <v>0</v>
      </c>
      <c r="AG184" s="50">
        <f>Project_List[[#This Row],[Professional Service Agreement (PSA) Amount]]+Project_List[[#This Row],[Final Construction Costs]]+Project_List[[#This Row],[Estimated COA
Engineering / 
Admin]]</f>
        <v>0</v>
      </c>
      <c r="AH184" s="13">
        <f>Project_List[[#This Row],[Overall Budget]]-Project_List[[#This Row],[Total Anticipated Costs (PSA+Est+COA Est)]]-Project_List[[#This Row],[Anticipated Costs Unincombered]]</f>
        <v>150000</v>
      </c>
      <c r="AI184" s="4"/>
      <c r="AJ184" s="54"/>
      <c r="AK184" s="36" t="s">
        <v>10</v>
      </c>
      <c r="AL184" s="1">
        <v>0</v>
      </c>
    </row>
    <row r="185" spans="1:38" ht="30" x14ac:dyDescent="0.25">
      <c r="A185" s="52" t="s">
        <v>258</v>
      </c>
      <c r="B185" s="5">
        <v>387</v>
      </c>
      <c r="C185" s="5" t="str">
        <f>LOOKUP(Project_List[[#This Row],[Fund No.]],'Code Lookup'!A$9:A$53,'Code Lookup'!B$9:B$53)</f>
        <v>2026/27 GO Bonds</v>
      </c>
      <c r="D185" s="5" t="s">
        <v>30</v>
      </c>
      <c r="E185" s="5" t="s">
        <v>508</v>
      </c>
      <c r="F185" s="5" t="s">
        <v>314</v>
      </c>
      <c r="G185" s="5" t="s">
        <v>575</v>
      </c>
      <c r="H185" s="49" t="s">
        <v>211</v>
      </c>
      <c r="I185" s="49">
        <v>2800000</v>
      </c>
      <c r="J185" s="5"/>
      <c r="K185" s="53"/>
      <c r="L185" s="15"/>
      <c r="M185" s="24"/>
      <c r="N185" s="5" t="s">
        <v>258</v>
      </c>
      <c r="O185" s="5" t="s">
        <v>258</v>
      </c>
      <c r="P185" s="48"/>
      <c r="Q185" s="48"/>
      <c r="R185" s="48" t="s">
        <v>278</v>
      </c>
      <c r="S185" s="48"/>
      <c r="T185" s="49"/>
      <c r="U185" s="49"/>
      <c r="V185" s="5"/>
      <c r="W185" s="5"/>
      <c r="X185" s="28" t="s">
        <v>10</v>
      </c>
      <c r="Y185" s="50"/>
      <c r="Z185" s="50"/>
      <c r="AA185" s="50"/>
      <c r="AB185" s="78"/>
      <c r="AC185" s="34"/>
      <c r="AD185" s="34">
        <v>500000</v>
      </c>
      <c r="AE185" s="34"/>
      <c r="AF185" s="34">
        <f>Project_List[[#This Row],[Professional Service Agreement (PSA) Amount]]+Project_List[[#This Row],[Engineer''s Est]]+Project_List[[#This Row],[Estimated COA
Engineering / 
Admin]]</f>
        <v>500000</v>
      </c>
      <c r="AG185" s="34">
        <f>Project_List[[#This Row],[Professional Service Agreement (PSA) Amount]]+Project_List[[#This Row],[Final Construction Costs]]+Project_List[[#This Row],[Estimated COA
Engineering / 
Admin]]</f>
        <v>500000</v>
      </c>
      <c r="AH185" s="14">
        <f>Project_List[[#This Row],[Overall Budget]]-Project_List[[#This Row],[Total Anticipated Costs (PSA+Est+COA Est)]]-Project_List[[#This Row],[Anticipated Costs Unincombered]]</f>
        <v>2300000</v>
      </c>
      <c r="AI185" s="5"/>
      <c r="AJ185" s="54"/>
      <c r="AK185" s="36"/>
      <c r="AL185" s="1">
        <f>COUNTA(_xlfn.UNIQUE(Project_List[[#This Row],[Project Name]]))</f>
        <v>1</v>
      </c>
    </row>
    <row r="186" spans="1:38" ht="75" x14ac:dyDescent="0.25">
      <c r="A186" s="52" t="s">
        <v>258</v>
      </c>
      <c r="B186" s="5">
        <v>387</v>
      </c>
      <c r="C186" s="5" t="str">
        <f>LOOKUP(Project_List[[#This Row],[Fund No.]],'Code Lookup'!A$9:A$53,'Code Lookup'!B$9:B$53)</f>
        <v>2026/27 GO Bonds</v>
      </c>
      <c r="D186" s="5" t="s">
        <v>30</v>
      </c>
      <c r="E186" s="5"/>
      <c r="F186" s="5" t="s">
        <v>60</v>
      </c>
      <c r="G186" s="5" t="s">
        <v>283</v>
      </c>
      <c r="H186" s="49" t="s">
        <v>211</v>
      </c>
      <c r="I186" s="49">
        <v>3350000</v>
      </c>
      <c r="J186" s="5"/>
      <c r="K186" s="53"/>
      <c r="L186" s="15"/>
      <c r="M186" s="24"/>
      <c r="N186" s="5" t="s">
        <v>258</v>
      </c>
      <c r="O186" s="5" t="s">
        <v>258</v>
      </c>
      <c r="P186" s="48"/>
      <c r="Q186" s="48"/>
      <c r="R186" s="48" t="s">
        <v>278</v>
      </c>
      <c r="S186" s="48"/>
      <c r="T186" s="49"/>
      <c r="U186" s="49"/>
      <c r="V186" s="5"/>
      <c r="W186" s="5"/>
      <c r="X186" s="1" t="s">
        <v>10</v>
      </c>
      <c r="Y186" s="50"/>
      <c r="Z186" s="50"/>
      <c r="AA186" s="50"/>
      <c r="AB186" s="78"/>
      <c r="AC186" s="34"/>
      <c r="AD186" s="34"/>
      <c r="AE186" s="34"/>
      <c r="AF186" s="34">
        <f>Project_List[[#This Row],[Professional Service Agreement (PSA) Amount]]+Project_List[[#This Row],[Engineer''s Est]]+Project_List[[#This Row],[Estimated COA
Engineering / 
Admin]]</f>
        <v>0</v>
      </c>
      <c r="AG186" s="50">
        <f>Project_List[[#This Row],[Professional Service Agreement (PSA) Amount]]+Project_List[[#This Row],[Final Construction Costs]]+Project_List[[#This Row],[Estimated COA
Engineering / 
Admin]]</f>
        <v>0</v>
      </c>
      <c r="AH186" s="13">
        <f>Project_List[[#This Row],[Overall Budget]]-Project_List[[#This Row],[Total Anticipated Costs (PSA+Est+COA Est)]]-Project_List[[#This Row],[Anticipated Costs Unincombered]]</f>
        <v>3350000</v>
      </c>
      <c r="AI186" s="4"/>
      <c r="AJ186" s="54"/>
      <c r="AK186" s="36" t="s">
        <v>10</v>
      </c>
      <c r="AL186" s="1">
        <v>1</v>
      </c>
    </row>
    <row r="187" spans="1:38" ht="30" x14ac:dyDescent="0.25">
      <c r="A187" s="52" t="s">
        <v>258</v>
      </c>
      <c r="B187" s="5">
        <v>383</v>
      </c>
      <c r="C187" s="5" t="str">
        <f>LOOKUP(Project_List[[#This Row],[Fund No.]],'Code Lookup'!A$9:A$53,'Code Lookup'!B$9:B$53)</f>
        <v>2022/23 GO Bonds</v>
      </c>
      <c r="D187" s="5" t="s">
        <v>30</v>
      </c>
      <c r="E187" s="5" t="s">
        <v>210</v>
      </c>
      <c r="F187" s="91" t="s">
        <v>319</v>
      </c>
      <c r="G187" s="5" t="s">
        <v>537</v>
      </c>
      <c r="H187" s="54" t="s">
        <v>211</v>
      </c>
      <c r="I187" s="54">
        <v>2000000</v>
      </c>
      <c r="J187" s="5"/>
      <c r="K187" s="92"/>
      <c r="L187" s="15"/>
      <c r="M187" s="24"/>
      <c r="N187" s="5" t="s">
        <v>258</v>
      </c>
      <c r="O187" s="5" t="s">
        <v>258</v>
      </c>
      <c r="P187" s="48"/>
      <c r="Q187" s="48"/>
      <c r="R187" s="48" t="s">
        <v>278</v>
      </c>
      <c r="S187" s="48"/>
      <c r="T187" s="49"/>
      <c r="U187" s="49"/>
      <c r="V187" s="5"/>
      <c r="W187" s="5"/>
      <c r="X187" s="28" t="s">
        <v>10</v>
      </c>
      <c r="Y187" s="50"/>
      <c r="Z187" s="50"/>
      <c r="AA187" s="50"/>
      <c r="AB187" s="78"/>
      <c r="AC187" s="34"/>
      <c r="AD187" s="34"/>
      <c r="AE187" s="34"/>
      <c r="AF187" s="34">
        <f>Project_List[[#This Row],[Professional Service Agreement (PSA) Amount]]+Project_List[[#This Row],[Engineer''s Est]]+Project_List[[#This Row],[Estimated COA
Engineering / 
Admin]]</f>
        <v>0</v>
      </c>
      <c r="AG187" s="50">
        <f>Project_List[[#This Row],[Professional Service Agreement (PSA) Amount]]+Project_List[[#This Row],[Final Construction Costs]]+Project_List[[#This Row],[Estimated COA
Engineering / 
Admin]]</f>
        <v>0</v>
      </c>
      <c r="AH187" s="13">
        <f>Project_List[[#This Row],[Overall Budget]]-Project_List[[#This Row],[Total Anticipated Costs (PSA+Est+COA Est)]]-Project_List[[#This Row],[Anticipated Costs Unincombered]]</f>
        <v>2000000</v>
      </c>
      <c r="AI187" s="4"/>
      <c r="AJ187" s="54"/>
      <c r="AK187" s="36" t="s">
        <v>10</v>
      </c>
      <c r="AL187" s="1">
        <v>1</v>
      </c>
    </row>
    <row r="188" spans="1:38" ht="30" x14ac:dyDescent="0.25">
      <c r="A188" s="52" t="s">
        <v>258</v>
      </c>
      <c r="B188" s="5">
        <v>560</v>
      </c>
      <c r="C188" s="5" t="str">
        <f>LOOKUP(Project_List[[#This Row],[Fund No.]],'Code Lookup'!A$9:A$53,'Code Lookup'!B$9:B$53)</f>
        <v>Stormwater Utility</v>
      </c>
      <c r="D188" s="5" t="s">
        <v>68</v>
      </c>
      <c r="E188" s="5" t="s">
        <v>310</v>
      </c>
      <c r="F188" s="5" t="s">
        <v>576</v>
      </c>
      <c r="G188" s="5" t="s">
        <v>311</v>
      </c>
      <c r="H188" s="49" t="s">
        <v>211</v>
      </c>
      <c r="I188" s="49">
        <v>150000</v>
      </c>
      <c r="J188" s="5"/>
      <c r="K188" s="53"/>
      <c r="L188" s="15"/>
      <c r="M188" s="24"/>
      <c r="N188" s="5" t="s">
        <v>258</v>
      </c>
      <c r="O188" s="5" t="s">
        <v>258</v>
      </c>
      <c r="P188" s="48"/>
      <c r="Q188" s="48"/>
      <c r="R188" s="48" t="s">
        <v>278</v>
      </c>
      <c r="S188" s="48"/>
      <c r="T188" s="49"/>
      <c r="U188" s="49"/>
      <c r="V188" s="5"/>
      <c r="W188" s="5"/>
      <c r="X188" s="1" t="s">
        <v>10</v>
      </c>
      <c r="Y188" s="50"/>
      <c r="Z188" s="50"/>
      <c r="AA188" s="50"/>
      <c r="AB188" s="78"/>
      <c r="AC188" s="34"/>
      <c r="AD188" s="34"/>
      <c r="AE188" s="34"/>
      <c r="AF188" s="34">
        <f>Project_List[[#This Row],[Professional Service Agreement (PSA) Amount]]+Project_List[[#This Row],[Engineer''s Est]]+Project_List[[#This Row],[Estimated COA
Engineering / 
Admin]]</f>
        <v>0</v>
      </c>
      <c r="AG188" s="50">
        <f>Project_List[[#This Row],[Professional Service Agreement (PSA) Amount]]+Project_List[[#This Row],[Final Construction Costs]]+Project_List[[#This Row],[Estimated COA
Engineering / 
Admin]]</f>
        <v>0</v>
      </c>
      <c r="AH188" s="13">
        <f>Project_List[[#This Row],[Overall Budget]]-Project_List[[#This Row],[Total Anticipated Costs (PSA+Est+COA Est)]]-Project_List[[#This Row],[Anticipated Costs Unincombered]]</f>
        <v>150000</v>
      </c>
      <c r="AI188" s="4"/>
      <c r="AJ188" s="54"/>
      <c r="AK188" s="36" t="s">
        <v>10</v>
      </c>
      <c r="AL188" s="1">
        <v>1</v>
      </c>
    </row>
    <row r="189" spans="1:38" ht="30" x14ac:dyDescent="0.25">
      <c r="A189" s="52" t="s">
        <v>258</v>
      </c>
      <c r="B189" s="5">
        <v>560</v>
      </c>
      <c r="C189" s="5" t="str">
        <f>LOOKUP(Project_List[[#This Row],[Fund No.]],'Code Lookup'!A$9:A$53,'Code Lookup'!B$9:B$53)</f>
        <v>Stormwater Utility</v>
      </c>
      <c r="D189" s="5" t="s">
        <v>68</v>
      </c>
      <c r="E189" s="5" t="s">
        <v>532</v>
      </c>
      <c r="F189" s="5" t="s">
        <v>198</v>
      </c>
      <c r="G189" s="5" t="s">
        <v>486</v>
      </c>
      <c r="H189" s="49" t="s">
        <v>211</v>
      </c>
      <c r="I189" s="49">
        <v>250000</v>
      </c>
      <c r="J189" s="5"/>
      <c r="K189" s="53"/>
      <c r="L189" s="15"/>
      <c r="M189" s="24"/>
      <c r="N189" s="5" t="s">
        <v>258</v>
      </c>
      <c r="O189" s="5" t="s">
        <v>258</v>
      </c>
      <c r="P189" s="48"/>
      <c r="Q189" s="48"/>
      <c r="R189" s="48" t="s">
        <v>278</v>
      </c>
      <c r="S189" s="48"/>
      <c r="T189" s="49"/>
      <c r="U189" s="49"/>
      <c r="V189" s="5"/>
      <c r="W189" s="5"/>
      <c r="X189" s="28" t="s">
        <v>10</v>
      </c>
      <c r="Y189" s="50"/>
      <c r="Z189" s="50"/>
      <c r="AA189" s="50"/>
      <c r="AB189" s="78"/>
      <c r="AC189" s="34"/>
      <c r="AD189" s="34"/>
      <c r="AE189" s="34"/>
      <c r="AF189" s="34">
        <f>Project_List[[#This Row],[Professional Service Agreement (PSA) Amount]]+Project_List[[#This Row],[Engineer''s Est]]+Project_List[[#This Row],[Estimated COA
Engineering / 
Admin]]</f>
        <v>0</v>
      </c>
      <c r="AG189" s="50">
        <f>Project_List[[#This Row],[Professional Service Agreement (PSA) Amount]]+Project_List[[#This Row],[Final Construction Costs]]+Project_List[[#This Row],[Estimated COA
Engineering / 
Admin]]</f>
        <v>0</v>
      </c>
      <c r="AH189" s="13">
        <f>Project_List[[#This Row],[Overall Budget]]-Project_List[[#This Row],[Total Anticipated Costs (PSA+Est+COA Est)]]-Project_List[[#This Row],[Anticipated Costs Unincombered]]</f>
        <v>250000</v>
      </c>
      <c r="AI189" s="4"/>
      <c r="AJ189" s="54"/>
      <c r="AK189" s="36" t="s">
        <v>10</v>
      </c>
      <c r="AL189" s="1">
        <v>1</v>
      </c>
    </row>
    <row r="190" spans="1:38" ht="30" x14ac:dyDescent="0.25">
      <c r="A190" s="52" t="s">
        <v>258</v>
      </c>
      <c r="B190" s="5">
        <v>560</v>
      </c>
      <c r="C190" s="5" t="str">
        <f>LOOKUP(Project_List[[#This Row],[Fund No.]],'Code Lookup'!A$9:A$53,'Code Lookup'!B$9:B$53)</f>
        <v>Stormwater Utility</v>
      </c>
      <c r="D190" s="5" t="s">
        <v>68</v>
      </c>
      <c r="E190" s="5" t="s">
        <v>532</v>
      </c>
      <c r="F190" s="5" t="s">
        <v>198</v>
      </c>
      <c r="G190" s="5" t="s">
        <v>491</v>
      </c>
      <c r="H190" s="49" t="s">
        <v>211</v>
      </c>
      <c r="I190" s="49"/>
      <c r="J190" s="5"/>
      <c r="K190" s="53"/>
      <c r="L190" s="15"/>
      <c r="M190" s="24"/>
      <c r="N190" s="5" t="s">
        <v>258</v>
      </c>
      <c r="O190" s="5" t="s">
        <v>258</v>
      </c>
      <c r="P190" s="48"/>
      <c r="Q190" s="48"/>
      <c r="R190" s="48" t="s">
        <v>278</v>
      </c>
      <c r="S190" s="48"/>
      <c r="T190" s="49"/>
      <c r="U190" s="49"/>
      <c r="V190" s="5"/>
      <c r="W190" s="5"/>
      <c r="Y190" s="50"/>
      <c r="Z190" s="50"/>
      <c r="AA190" s="50"/>
      <c r="AB190" s="78"/>
      <c r="AC190" s="34"/>
      <c r="AD190" s="34"/>
      <c r="AE190" s="34"/>
      <c r="AF190" s="34">
        <f>Project_List[[#This Row],[Professional Service Agreement (PSA) Amount]]+Project_List[[#This Row],[Engineer''s Est]]+Project_List[[#This Row],[Estimated COA
Engineering / 
Admin]]</f>
        <v>0</v>
      </c>
      <c r="AG190" s="34">
        <f>Project_List[[#This Row],[Professional Service Agreement (PSA) Amount]]+Project_List[[#This Row],[Final Construction Costs]]+Project_List[[#This Row],[Estimated COA
Engineering / 
Admin]]</f>
        <v>0</v>
      </c>
      <c r="AH190" s="14">
        <f>Project_List[[#This Row],[Overall Budget]]-Project_List[[#This Row],[Total Anticipated Costs (PSA+Est+COA Est)]]-Project_List[[#This Row],[Anticipated Costs Unincombered]]</f>
        <v>0</v>
      </c>
      <c r="AI190" s="5"/>
      <c r="AJ190" s="54"/>
      <c r="AK190" s="36"/>
      <c r="AL190" s="1">
        <f>COUNTA(_xlfn.UNIQUE(Project_List[[#This Row],[Project Name]]))</f>
        <v>1</v>
      </c>
    </row>
    <row r="191" spans="1:38" ht="30" x14ac:dyDescent="0.25">
      <c r="A191" s="52" t="s">
        <v>258</v>
      </c>
      <c r="B191" s="5">
        <v>60</v>
      </c>
      <c r="C191" s="5" t="str">
        <f>LOOKUP(Project_List[[#This Row],[Fund No.]],'Code Lookup'!A$9:A$53,'Code Lookup'!B$9:B$53)</f>
        <v>Road Use Tax</v>
      </c>
      <c r="D191" s="5" t="s">
        <v>292</v>
      </c>
      <c r="E191" s="5" t="s">
        <v>216</v>
      </c>
      <c r="F191" s="5" t="s">
        <v>218</v>
      </c>
      <c r="G191" s="5" t="s">
        <v>574</v>
      </c>
      <c r="H191" s="49" t="s">
        <v>211</v>
      </c>
      <c r="I191" s="49">
        <v>150000</v>
      </c>
      <c r="J191" s="5"/>
      <c r="K191" s="53"/>
      <c r="L191" s="15"/>
      <c r="M191" s="24"/>
      <c r="N191" s="5" t="s">
        <v>258</v>
      </c>
      <c r="O191" s="5" t="s">
        <v>258</v>
      </c>
      <c r="P191" s="48"/>
      <c r="Q191" s="48"/>
      <c r="R191" s="48" t="s">
        <v>278</v>
      </c>
      <c r="S191" s="48"/>
      <c r="T191" s="49"/>
      <c r="U191" s="49"/>
      <c r="V191" s="5"/>
      <c r="W191" s="5"/>
      <c r="X191" s="28" t="s">
        <v>10</v>
      </c>
      <c r="Y191" s="50"/>
      <c r="Z191" s="50"/>
      <c r="AA191" s="50"/>
      <c r="AB191" s="78"/>
      <c r="AC191" s="34"/>
      <c r="AD191" s="34"/>
      <c r="AE191" s="34"/>
      <c r="AF191" s="34">
        <f>Project_List[[#This Row],[Professional Service Agreement (PSA) Amount]]+Project_List[[#This Row],[Engineer''s Est]]+Project_List[[#This Row],[Estimated COA
Engineering / 
Admin]]</f>
        <v>0</v>
      </c>
      <c r="AG191" s="50">
        <f>Project_List[[#This Row],[Professional Service Agreement (PSA) Amount]]+Project_List[[#This Row],[Final Construction Costs]]+Project_List[[#This Row],[Estimated COA
Engineering / 
Admin]]</f>
        <v>0</v>
      </c>
      <c r="AH191" s="13">
        <f>Project_List[[#This Row],[Overall Budget]]-Project_List[[#This Row],[Total Anticipated Costs (PSA+Est+COA Est)]]-Project_List[[#This Row],[Anticipated Costs Unincombered]]</f>
        <v>150000</v>
      </c>
      <c r="AI191" s="4"/>
      <c r="AJ191" s="54"/>
      <c r="AK191" s="36" t="s">
        <v>10</v>
      </c>
      <c r="AL191" s="1">
        <v>0</v>
      </c>
    </row>
    <row r="192" spans="1:38" x14ac:dyDescent="0.25">
      <c r="A192" s="52" t="s">
        <v>258</v>
      </c>
      <c r="B192" s="5">
        <v>560</v>
      </c>
      <c r="C192" s="5" t="str">
        <f>LOOKUP(Project_List[[#This Row],[Fund No.]],'Code Lookup'!A$9:A$53,'Code Lookup'!B$9:B$53)</f>
        <v>Stormwater Utility</v>
      </c>
      <c r="D192" s="5" t="s">
        <v>68</v>
      </c>
      <c r="E192" s="5" t="s">
        <v>532</v>
      </c>
      <c r="F192" s="5" t="s">
        <v>333</v>
      </c>
      <c r="G192" s="5" t="s">
        <v>531</v>
      </c>
      <c r="H192" s="49" t="s">
        <v>211</v>
      </c>
      <c r="I192" s="49">
        <v>50000</v>
      </c>
      <c r="J192" s="5"/>
      <c r="K192" s="53" t="s">
        <v>4</v>
      </c>
      <c r="L192" s="15">
        <v>0</v>
      </c>
      <c r="M192" s="24"/>
      <c r="N192" s="5" t="s">
        <v>258</v>
      </c>
      <c r="O192" s="5" t="s">
        <v>258</v>
      </c>
      <c r="P192" s="48"/>
      <c r="Q192" s="48"/>
      <c r="R192" s="48" t="s">
        <v>278</v>
      </c>
      <c r="S192" s="48"/>
      <c r="T192" s="49"/>
      <c r="U192" s="49"/>
      <c r="V192" s="5"/>
      <c r="W192" s="5"/>
      <c r="Y192" s="50"/>
      <c r="Z192" s="50"/>
      <c r="AA192" s="50"/>
      <c r="AB192" s="78"/>
      <c r="AC192" s="34"/>
      <c r="AD192" s="34"/>
      <c r="AE192" s="34"/>
      <c r="AF192" s="34">
        <f>Project_List[[#This Row],[Professional Service Agreement (PSA) Amount]]+Project_List[[#This Row],[Engineer''s Est]]+Project_List[[#This Row],[Estimated COA
Engineering / 
Admin]]</f>
        <v>0</v>
      </c>
      <c r="AG192" s="34">
        <f>Project_List[[#This Row],[Professional Service Agreement (PSA) Amount]]+Project_List[[#This Row],[Final Construction Costs]]+Project_List[[#This Row],[Estimated COA
Engineering / 
Admin]]</f>
        <v>0</v>
      </c>
      <c r="AH192" s="14">
        <f>Project_List[[#This Row],[Overall Budget]]-Project_List[[#This Row],[Total Anticipated Costs (PSA+Est+COA Est)]]-Project_List[[#This Row],[Anticipated Costs Unincombered]]</f>
        <v>50000</v>
      </c>
      <c r="AI192" s="5"/>
      <c r="AJ192" s="54"/>
      <c r="AK192" s="36"/>
      <c r="AL192" s="1">
        <v>0</v>
      </c>
    </row>
    <row r="193" spans="1:38" ht="30" x14ac:dyDescent="0.25">
      <c r="A193" s="52" t="s">
        <v>258</v>
      </c>
      <c r="B193" s="5">
        <v>520</v>
      </c>
      <c r="C193" s="5" t="str">
        <f>LOOKUP(Project_List[[#This Row],[Fund No.]],'Code Lookup'!A$9:A$53,'Code Lookup'!B$9:B$53)</f>
        <v>Sewer Utility</v>
      </c>
      <c r="D193" s="5" t="s">
        <v>322</v>
      </c>
      <c r="E193" s="5" t="s">
        <v>510</v>
      </c>
      <c r="F193" s="5" t="s">
        <v>333</v>
      </c>
      <c r="G193" s="5" t="s">
        <v>531</v>
      </c>
      <c r="H193" s="49" t="s">
        <v>211</v>
      </c>
      <c r="I193" s="49">
        <v>75000</v>
      </c>
      <c r="J193" s="5"/>
      <c r="K193" s="53" t="s">
        <v>4</v>
      </c>
      <c r="L193" s="15">
        <v>0</v>
      </c>
      <c r="M193" s="24"/>
      <c r="N193" s="5" t="s">
        <v>258</v>
      </c>
      <c r="O193" s="5" t="s">
        <v>258</v>
      </c>
      <c r="P193" s="48"/>
      <c r="Q193" s="48"/>
      <c r="R193" s="48" t="s">
        <v>278</v>
      </c>
      <c r="S193" s="48"/>
      <c r="T193" s="49"/>
      <c r="U193" s="49"/>
      <c r="V193" s="5"/>
      <c r="W193" s="5"/>
      <c r="X193" s="28"/>
      <c r="Y193" s="50"/>
      <c r="Z193" s="50"/>
      <c r="AA193" s="50"/>
      <c r="AB193" s="78"/>
      <c r="AC193" s="34"/>
      <c r="AD193" s="34"/>
      <c r="AE193" s="34"/>
      <c r="AF193" s="34">
        <f>Project_List[[#This Row],[Professional Service Agreement (PSA) Amount]]+Project_List[[#This Row],[Engineer''s Est]]+Project_List[[#This Row],[Estimated COA
Engineering / 
Admin]]</f>
        <v>0</v>
      </c>
      <c r="AG193" s="34">
        <f>Project_List[[#This Row],[Professional Service Agreement (PSA) Amount]]+Project_List[[#This Row],[Final Construction Costs]]+Project_List[[#This Row],[Estimated COA
Engineering / 
Admin]]</f>
        <v>0</v>
      </c>
      <c r="AH193" s="14">
        <f>Project_List[[#This Row],[Overall Budget]]-Project_List[[#This Row],[Total Anticipated Costs (PSA+Est+COA Est)]]-Project_List[[#This Row],[Anticipated Costs Unincombered]]</f>
        <v>75000</v>
      </c>
      <c r="AI193" s="5"/>
      <c r="AJ193" s="54"/>
      <c r="AK193" s="36"/>
      <c r="AL193" s="1">
        <v>0</v>
      </c>
    </row>
    <row r="194" spans="1:38" ht="30" x14ac:dyDescent="0.25">
      <c r="A194" s="52" t="s">
        <v>258</v>
      </c>
      <c r="B194" s="5">
        <v>60</v>
      </c>
      <c r="C194" s="5" t="str">
        <f>LOOKUP(Project_List[[#This Row],[Fund No.]],'Code Lookup'!A$9:A$53,'Code Lookup'!B$9:B$53)</f>
        <v>Road Use Tax</v>
      </c>
      <c r="D194" s="5" t="s">
        <v>30</v>
      </c>
      <c r="E194" s="5" t="s">
        <v>530</v>
      </c>
      <c r="F194" s="5" t="s">
        <v>333</v>
      </c>
      <c r="G194" s="5" t="s">
        <v>531</v>
      </c>
      <c r="H194" s="49" t="s">
        <v>211</v>
      </c>
      <c r="I194" s="49">
        <v>125000</v>
      </c>
      <c r="J194" s="5"/>
      <c r="K194" s="53" t="s">
        <v>4</v>
      </c>
      <c r="L194" s="15">
        <v>0</v>
      </c>
      <c r="M194" s="24"/>
      <c r="N194" s="5" t="s">
        <v>258</v>
      </c>
      <c r="O194" s="5" t="s">
        <v>258</v>
      </c>
      <c r="P194" s="48"/>
      <c r="Q194" s="48"/>
      <c r="R194" s="48" t="s">
        <v>278</v>
      </c>
      <c r="S194" s="48"/>
      <c r="T194" s="49"/>
      <c r="U194" s="49"/>
      <c r="V194" s="5"/>
      <c r="W194" s="5"/>
      <c r="X194" s="28"/>
      <c r="Y194" s="50"/>
      <c r="Z194" s="50"/>
      <c r="AA194" s="50"/>
      <c r="AB194" s="78"/>
      <c r="AC194" s="34"/>
      <c r="AD194" s="34"/>
      <c r="AE194" s="34"/>
      <c r="AF194" s="34">
        <f>Project_List[[#This Row],[Professional Service Agreement (PSA) Amount]]+Project_List[[#This Row],[Engineer''s Est]]+Project_List[[#This Row],[Estimated COA
Engineering / 
Admin]]</f>
        <v>0</v>
      </c>
      <c r="AG194" s="34">
        <f>Project_List[[#This Row],[Professional Service Agreement (PSA) Amount]]+Project_List[[#This Row],[Final Construction Costs]]+Project_List[[#This Row],[Estimated COA
Engineering / 
Admin]]</f>
        <v>0</v>
      </c>
      <c r="AH194" s="14">
        <f>Project_List[[#This Row],[Overall Budget]]-Project_List[[#This Row],[Total Anticipated Costs (PSA+Est+COA Est)]]-Project_List[[#This Row],[Anticipated Costs Unincombered]]</f>
        <v>125000</v>
      </c>
      <c r="AI194" s="5"/>
      <c r="AJ194" s="54"/>
      <c r="AK194" s="36"/>
      <c r="AL194" s="1">
        <v>0</v>
      </c>
    </row>
    <row r="195" spans="1:38" ht="30" x14ac:dyDescent="0.25">
      <c r="A195" s="52" t="s">
        <v>258</v>
      </c>
      <c r="B195" s="5">
        <v>510</v>
      </c>
      <c r="C195" s="5" t="str">
        <f>LOOKUP(Project_List[[#This Row],[Fund No.]],'Code Lookup'!A$9:A$53,'Code Lookup'!B$9:B$53)</f>
        <v>Water Utility</v>
      </c>
      <c r="D195" s="5" t="s">
        <v>64</v>
      </c>
      <c r="E195" s="5" t="s">
        <v>509</v>
      </c>
      <c r="F195" s="5" t="s">
        <v>333</v>
      </c>
      <c r="G195" s="5" t="s">
        <v>531</v>
      </c>
      <c r="H195" s="49" t="s">
        <v>211</v>
      </c>
      <c r="I195" s="49">
        <v>75000</v>
      </c>
      <c r="J195" s="5"/>
      <c r="K195" s="53" t="s">
        <v>4</v>
      </c>
      <c r="L195" s="15">
        <v>0</v>
      </c>
      <c r="M195" s="24"/>
      <c r="N195" s="5" t="s">
        <v>258</v>
      </c>
      <c r="O195" s="5" t="s">
        <v>258</v>
      </c>
      <c r="P195" s="48"/>
      <c r="Q195" s="48"/>
      <c r="R195" s="48" t="s">
        <v>278</v>
      </c>
      <c r="S195" s="48"/>
      <c r="T195" s="49"/>
      <c r="U195" s="49"/>
      <c r="V195" s="5"/>
      <c r="W195" s="5"/>
      <c r="Y195" s="50"/>
      <c r="Z195" s="50"/>
      <c r="AA195" s="50"/>
      <c r="AB195" s="78"/>
      <c r="AC195" s="34"/>
      <c r="AD195" s="34"/>
      <c r="AE195" s="34"/>
      <c r="AF195" s="34">
        <f>Project_List[[#This Row],[Professional Service Agreement (PSA) Amount]]+Project_List[[#This Row],[Engineer''s Est]]+Project_List[[#This Row],[Estimated COA
Engineering / 
Admin]]</f>
        <v>0</v>
      </c>
      <c r="AG195" s="34">
        <f>Project_List[[#This Row],[Professional Service Agreement (PSA) Amount]]+Project_List[[#This Row],[Final Construction Costs]]+Project_List[[#This Row],[Estimated COA
Engineering / 
Admin]]</f>
        <v>0</v>
      </c>
      <c r="AH195" s="14">
        <f>Project_List[[#This Row],[Overall Budget]]-Project_List[[#This Row],[Total Anticipated Costs (PSA+Est+COA Est)]]-Project_List[[#This Row],[Anticipated Costs Unincombered]]</f>
        <v>75000</v>
      </c>
      <c r="AI195" s="5"/>
      <c r="AJ195" s="54"/>
      <c r="AK195" s="36"/>
      <c r="AL195" s="1">
        <v>0</v>
      </c>
    </row>
    <row r="196" spans="1:38" ht="30" x14ac:dyDescent="0.25">
      <c r="A196" s="52" t="s">
        <v>258</v>
      </c>
      <c r="B196" s="5">
        <v>520</v>
      </c>
      <c r="C196" s="5" t="str">
        <f>LOOKUP(Project_List[[#This Row],[Fund No.]],'Code Lookup'!A$9:A$53,'Code Lookup'!B$9:B$53)</f>
        <v>Sewer Utility</v>
      </c>
      <c r="D196" s="5" t="s">
        <v>322</v>
      </c>
      <c r="E196" s="5" t="s">
        <v>510</v>
      </c>
      <c r="F196" s="5" t="s">
        <v>133</v>
      </c>
      <c r="G196" s="5" t="s">
        <v>414</v>
      </c>
      <c r="H196" s="49" t="s">
        <v>211</v>
      </c>
      <c r="I196" s="49">
        <v>610000</v>
      </c>
      <c r="J196" s="5"/>
      <c r="K196" s="53"/>
      <c r="L196" s="15"/>
      <c r="M196" s="24"/>
      <c r="N196" s="5" t="s">
        <v>258</v>
      </c>
      <c r="O196" s="5" t="s">
        <v>258</v>
      </c>
      <c r="P196" s="48"/>
      <c r="Q196" s="48"/>
      <c r="R196" s="48" t="s">
        <v>278</v>
      </c>
      <c r="S196" s="48"/>
      <c r="T196" s="49"/>
      <c r="U196" s="49" t="s">
        <v>4</v>
      </c>
      <c r="V196" s="5"/>
      <c r="W196" s="5"/>
      <c r="X196" s="5" t="s">
        <v>13</v>
      </c>
      <c r="Y196" s="50"/>
      <c r="Z196" s="50"/>
      <c r="AA196" s="50"/>
      <c r="AB196" s="78"/>
      <c r="AC196" s="34"/>
      <c r="AD196" s="34"/>
      <c r="AE196" s="34"/>
      <c r="AF196" s="34">
        <f>Project_List[[#This Row],[Professional Service Agreement (PSA) Amount]]+Project_List[[#This Row],[Engineer''s Est]]+Project_List[[#This Row],[Estimated COA
Engineering / 
Admin]]</f>
        <v>0</v>
      </c>
      <c r="AG196" s="34">
        <f>Project_List[[#This Row],[Professional Service Agreement (PSA) Amount]]+Project_List[[#This Row],[Final Construction Costs]]+Project_List[[#This Row],[Estimated COA
Engineering / 
Admin]]</f>
        <v>0</v>
      </c>
      <c r="AH196" s="14">
        <f>Project_List[[#This Row],[Overall Budget]]-Project_List[[#This Row],[Total Anticipated Costs (PSA+Est+COA Est)]]-Project_List[[#This Row],[Anticipated Costs Unincombered]]</f>
        <v>610000</v>
      </c>
      <c r="AI196" s="5"/>
      <c r="AJ196" s="54"/>
      <c r="AK196" s="51"/>
      <c r="AL196" s="1">
        <v>0</v>
      </c>
    </row>
    <row r="197" spans="1:38" ht="75" x14ac:dyDescent="0.25">
      <c r="A197" s="52" t="s">
        <v>258</v>
      </c>
      <c r="B197" s="5">
        <v>520</v>
      </c>
      <c r="C197" s="5" t="str">
        <f>LOOKUP(Project_List[[#This Row],[Fund No.]],'Code Lookup'!A$9:A$53,'Code Lookup'!B$9:B$53)</f>
        <v>Sewer Utility</v>
      </c>
      <c r="D197" s="5" t="s">
        <v>322</v>
      </c>
      <c r="E197" s="5" t="s">
        <v>510</v>
      </c>
      <c r="F197" s="5" t="s">
        <v>133</v>
      </c>
      <c r="G197" s="5" t="s">
        <v>283</v>
      </c>
      <c r="H197" s="49" t="s">
        <v>211</v>
      </c>
      <c r="I197" s="49">
        <v>30000</v>
      </c>
      <c r="J197" s="5"/>
      <c r="K197" s="53"/>
      <c r="L197" s="15"/>
      <c r="M197" s="24"/>
      <c r="N197" s="5" t="s">
        <v>258</v>
      </c>
      <c r="O197" s="5" t="s">
        <v>258</v>
      </c>
      <c r="P197" s="48"/>
      <c r="Q197" s="48"/>
      <c r="R197" s="48" t="s">
        <v>278</v>
      </c>
      <c r="S197" s="48"/>
      <c r="T197" s="49"/>
      <c r="U197" s="49"/>
      <c r="V197" s="5"/>
      <c r="W197" s="5"/>
      <c r="X197" s="5"/>
      <c r="Y197" s="50"/>
      <c r="Z197" s="50"/>
      <c r="AA197" s="50"/>
      <c r="AB197" s="78"/>
      <c r="AC197" s="34"/>
      <c r="AD197" s="34"/>
      <c r="AE197" s="34"/>
      <c r="AF197" s="34">
        <f>Project_List[[#This Row],[Professional Service Agreement (PSA) Amount]]+Project_List[[#This Row],[Engineer''s Est]]+Project_List[[#This Row],[Estimated COA
Engineering / 
Admin]]</f>
        <v>0</v>
      </c>
      <c r="AG197" s="34">
        <f>Project_List[[#This Row],[Professional Service Agreement (PSA) Amount]]+Project_List[[#This Row],[Final Construction Costs]]+Project_List[[#This Row],[Estimated COA
Engineering / 
Admin]]</f>
        <v>0</v>
      </c>
      <c r="AH197" s="14">
        <f>Project_List[[#This Row],[Overall Budget]]-Project_List[[#This Row],[Total Anticipated Costs (PSA+Est+COA Est)]]-Project_List[[#This Row],[Anticipated Costs Unincombered]]</f>
        <v>30000</v>
      </c>
      <c r="AI197" s="5"/>
      <c r="AJ197" s="54"/>
      <c r="AK197" s="51"/>
      <c r="AL197" s="1">
        <v>0</v>
      </c>
    </row>
    <row r="198" spans="1:38" ht="60" x14ac:dyDescent="0.25">
      <c r="A198" s="52" t="s">
        <v>258</v>
      </c>
      <c r="B198" s="5">
        <v>520</v>
      </c>
      <c r="C198" s="5" t="str">
        <f>LOOKUP(Project_List[[#This Row],[Fund No.]],'Code Lookup'!A$9:A$53,'Code Lookup'!B$9:B$53)</f>
        <v>Sewer Utility</v>
      </c>
      <c r="D198" s="5" t="s">
        <v>322</v>
      </c>
      <c r="E198" s="5" t="s">
        <v>510</v>
      </c>
      <c r="F198" s="5" t="s">
        <v>133</v>
      </c>
      <c r="G198" s="5" t="s">
        <v>578</v>
      </c>
      <c r="H198" s="49" t="s">
        <v>211</v>
      </c>
      <c r="I198" s="49">
        <v>70000</v>
      </c>
      <c r="J198" s="5"/>
      <c r="K198" s="53"/>
      <c r="L198" s="15"/>
      <c r="M198" s="24"/>
      <c r="N198" s="5" t="s">
        <v>258</v>
      </c>
      <c r="O198" s="5" t="s">
        <v>258</v>
      </c>
      <c r="P198" s="48"/>
      <c r="Q198" s="48"/>
      <c r="R198" s="48" t="s">
        <v>278</v>
      </c>
      <c r="S198" s="48"/>
      <c r="T198" s="49"/>
      <c r="U198" s="49"/>
      <c r="V198" s="5"/>
      <c r="W198" s="5"/>
      <c r="X198" s="5"/>
      <c r="Y198" s="50"/>
      <c r="Z198" s="50"/>
      <c r="AA198" s="50"/>
      <c r="AB198" s="78"/>
      <c r="AC198" s="34"/>
      <c r="AD198" s="34"/>
      <c r="AE198" s="34"/>
      <c r="AF198" s="34">
        <f>Project_List[[#This Row],[Professional Service Agreement (PSA) Amount]]+Project_List[[#This Row],[Engineer''s Est]]+Project_List[[#This Row],[Estimated COA
Engineering / 
Admin]]</f>
        <v>0</v>
      </c>
      <c r="AG198" s="34">
        <f>Project_List[[#This Row],[Professional Service Agreement (PSA) Amount]]+Project_List[[#This Row],[Final Construction Costs]]+Project_List[[#This Row],[Estimated COA
Engineering / 
Admin]]</f>
        <v>0</v>
      </c>
      <c r="AH198" s="14">
        <f>Project_List[[#This Row],[Overall Budget]]-Project_List[[#This Row],[Total Anticipated Costs (PSA+Est+COA Est)]]-Project_List[[#This Row],[Anticipated Costs Unincombered]]</f>
        <v>70000</v>
      </c>
      <c r="AI198" s="5"/>
      <c r="AJ198" s="54"/>
      <c r="AK198" s="51"/>
      <c r="AL198" s="5">
        <v>0</v>
      </c>
    </row>
    <row r="199" spans="1:38" ht="30" x14ac:dyDescent="0.25">
      <c r="A199" s="52" t="s">
        <v>258</v>
      </c>
      <c r="B199" s="5">
        <v>387</v>
      </c>
      <c r="C199" s="5" t="str">
        <f>LOOKUP(Project_List[[#This Row],[Fund No.]],'Code Lookup'!A$9:A$53,'Code Lookup'!B$9:B$53)</f>
        <v>2026/27 GO Bonds</v>
      </c>
      <c r="D199" s="5" t="s">
        <v>30</v>
      </c>
      <c r="E199" s="5" t="s">
        <v>508</v>
      </c>
      <c r="F199" s="5" t="s">
        <v>316</v>
      </c>
      <c r="G199" s="5" t="s">
        <v>574</v>
      </c>
      <c r="H199" s="49" t="s">
        <v>211</v>
      </c>
      <c r="I199" s="49">
        <v>900000</v>
      </c>
      <c r="J199" s="5"/>
      <c r="K199" s="53"/>
      <c r="L199" s="15"/>
      <c r="M199" s="24"/>
      <c r="N199" s="5" t="s">
        <v>258</v>
      </c>
      <c r="O199" s="5" t="s">
        <v>258</v>
      </c>
      <c r="P199" s="48"/>
      <c r="Q199" s="48"/>
      <c r="R199" s="48" t="s">
        <v>278</v>
      </c>
      <c r="S199" s="48"/>
      <c r="T199" s="49"/>
      <c r="U199" s="49"/>
      <c r="V199" s="5"/>
      <c r="W199" s="5"/>
      <c r="X199" s="5" t="s">
        <v>10</v>
      </c>
      <c r="Y199" s="50"/>
      <c r="Z199" s="50"/>
      <c r="AA199" s="50"/>
      <c r="AB199" s="78"/>
      <c r="AC199" s="34"/>
      <c r="AD199" s="34"/>
      <c r="AE199" s="34"/>
      <c r="AF199" s="34">
        <f>Project_List[[#This Row],[Professional Service Agreement (PSA) Amount]]+Project_List[[#This Row],[Engineer''s Est]]+Project_List[[#This Row],[Estimated COA
Engineering / 
Admin]]</f>
        <v>0</v>
      </c>
      <c r="AG199" s="50">
        <f>Project_List[[#This Row],[Professional Service Agreement (PSA) Amount]]+Project_List[[#This Row],[Final Construction Costs]]+Project_List[[#This Row],[Estimated COA
Engineering / 
Admin]]</f>
        <v>0</v>
      </c>
      <c r="AH199" s="13">
        <f>Project_List[[#This Row],[Overall Budget]]-Project_List[[#This Row],[Total Anticipated Costs (PSA+Est+COA Est)]]-Project_List[[#This Row],[Anticipated Costs Unincombered]]</f>
        <v>900000</v>
      </c>
      <c r="AI199" s="4"/>
      <c r="AJ199" s="54"/>
      <c r="AK199" s="51" t="s">
        <v>10</v>
      </c>
      <c r="AL199" s="5">
        <v>1</v>
      </c>
    </row>
    <row r="200" spans="1:38" ht="30" x14ac:dyDescent="0.25">
      <c r="A200" s="52" t="s">
        <v>258</v>
      </c>
      <c r="B200" s="5">
        <v>560</v>
      </c>
      <c r="C200" s="5" t="str">
        <f>LOOKUP(Project_List[[#This Row],[Fund No.]],'Code Lookup'!A$9:A$53,'Code Lookup'!B$9:B$53)</f>
        <v>Stormwater Utility</v>
      </c>
      <c r="D200" s="5" t="s">
        <v>68</v>
      </c>
      <c r="E200" s="4" t="s">
        <v>484</v>
      </c>
      <c r="F200" s="5" t="s">
        <v>202</v>
      </c>
      <c r="G200" s="5" t="s">
        <v>480</v>
      </c>
      <c r="H200" s="49" t="s">
        <v>211</v>
      </c>
      <c r="I200" s="49">
        <v>350000</v>
      </c>
      <c r="J200" s="5"/>
      <c r="K200" s="53" t="s">
        <v>375</v>
      </c>
      <c r="L200" s="15">
        <v>0</v>
      </c>
      <c r="M200" s="24"/>
      <c r="N200" s="5" t="s">
        <v>258</v>
      </c>
      <c r="O200" s="5" t="s">
        <v>258</v>
      </c>
      <c r="P200" s="48"/>
      <c r="Q200" s="48"/>
      <c r="R200" s="48" t="s">
        <v>278</v>
      </c>
      <c r="S200" s="48"/>
      <c r="T200" s="49"/>
      <c r="U200" s="49" t="s">
        <v>375</v>
      </c>
      <c r="V200" s="5"/>
      <c r="W200" s="5" t="s">
        <v>10</v>
      </c>
      <c r="X200" s="5" t="s">
        <v>10</v>
      </c>
      <c r="Y200" s="50">
        <v>300000</v>
      </c>
      <c r="Z200" s="50"/>
      <c r="AA200" s="50"/>
      <c r="AB200" s="78"/>
      <c r="AC200" s="34"/>
      <c r="AD200" s="34">
        <v>50000</v>
      </c>
      <c r="AE200" s="34"/>
      <c r="AF200" s="34">
        <f>Project_List[[#This Row],[Professional Service Agreement (PSA) Amount]]+Project_List[[#This Row],[Engineer''s Est]]+Project_List[[#This Row],[Estimated COA
Engineering / 
Admin]]</f>
        <v>350000</v>
      </c>
      <c r="AG200" s="50">
        <f>Project_List[[#This Row],[Professional Service Agreement (PSA) Amount]]+Project_List[[#This Row],[Final Construction Costs]]+Project_List[[#This Row],[Estimated COA
Engineering / 
Admin]]</f>
        <v>50000</v>
      </c>
      <c r="AH200" s="13">
        <f>Project_List[[#This Row],[Overall Budget]]-Project_List[[#This Row],[Total Anticipated Costs (PSA+Est+COA Est)]]-Project_List[[#This Row],[Anticipated Costs Unincombered]]</f>
        <v>0</v>
      </c>
      <c r="AI200" s="4"/>
      <c r="AJ200" s="54">
        <v>-683</v>
      </c>
      <c r="AK200" s="51" t="s">
        <v>10</v>
      </c>
      <c r="AL200" s="5">
        <f>COUNTA(_xlfn.UNIQUE(Project_List[[#This Row],[Project Name]]))</f>
        <v>1</v>
      </c>
    </row>
    <row r="201" spans="1:38" ht="30" x14ac:dyDescent="0.25">
      <c r="A201" s="52" t="s">
        <v>258</v>
      </c>
      <c r="B201" s="5">
        <v>560</v>
      </c>
      <c r="C201" s="5" t="str">
        <f>LOOKUP(Project_List[[#This Row],[Fund No.]],'Code Lookup'!A$9:A$53,'Code Lookup'!B$9:B$53)</f>
        <v>Stormwater Utility</v>
      </c>
      <c r="D201" s="5" t="s">
        <v>68</v>
      </c>
      <c r="E201" s="5"/>
      <c r="F201" s="5" t="s">
        <v>202</v>
      </c>
      <c r="G201" s="5" t="s">
        <v>300</v>
      </c>
      <c r="H201" s="49" t="s">
        <v>211</v>
      </c>
      <c r="I201" s="49">
        <v>200000</v>
      </c>
      <c r="J201" s="5"/>
      <c r="K201" s="53"/>
      <c r="L201" s="15"/>
      <c r="M201" s="24"/>
      <c r="N201" s="5" t="s">
        <v>258</v>
      </c>
      <c r="O201" s="5" t="s">
        <v>258</v>
      </c>
      <c r="P201" s="48"/>
      <c r="Q201" s="48"/>
      <c r="R201" s="48" t="s">
        <v>278</v>
      </c>
      <c r="S201" s="48"/>
      <c r="T201" s="49"/>
      <c r="U201" s="49" t="s">
        <v>375</v>
      </c>
      <c r="V201" s="5"/>
      <c r="W201" s="5" t="s">
        <v>10</v>
      </c>
      <c r="X201" s="5" t="s">
        <v>10</v>
      </c>
      <c r="Y201" s="50"/>
      <c r="Z201" s="50"/>
      <c r="AA201" s="50"/>
      <c r="AB201" s="78"/>
      <c r="AC201" s="34"/>
      <c r="AD201" s="34"/>
      <c r="AE201" s="34"/>
      <c r="AF201" s="34">
        <f>Project_List[[#This Row],[Professional Service Agreement (PSA) Amount]]+Project_List[[#This Row],[Engineer''s Est]]+Project_List[[#This Row],[Estimated COA
Engineering / 
Admin]]</f>
        <v>0</v>
      </c>
      <c r="AG201" s="50">
        <f>Project_List[[#This Row],[Professional Service Agreement (PSA) Amount]]+Project_List[[#This Row],[Final Construction Costs]]+Project_List[[#This Row],[Estimated COA
Engineering / 
Admin]]</f>
        <v>0</v>
      </c>
      <c r="AH201" s="13">
        <f>Project_List[[#This Row],[Overall Budget]]-Project_List[[#This Row],[Total Anticipated Costs (PSA+Est+COA Est)]]-Project_List[[#This Row],[Anticipated Costs Unincombered]]</f>
        <v>200000</v>
      </c>
      <c r="AI201" s="4"/>
      <c r="AJ201" s="54"/>
      <c r="AK201" s="51" t="s">
        <v>10</v>
      </c>
      <c r="AL201" s="5">
        <v>1</v>
      </c>
    </row>
    <row r="202" spans="1:38" ht="30" x14ac:dyDescent="0.25">
      <c r="A202" s="52" t="s">
        <v>258</v>
      </c>
      <c r="B202" s="5">
        <v>510</v>
      </c>
      <c r="C202" s="5" t="str">
        <f>LOOKUP(Project_List[[#This Row],[Fund No.]],'Code Lookup'!A$9:A$53,'Code Lookup'!B$9:B$53)</f>
        <v>Water Utility</v>
      </c>
      <c r="D202" s="5" t="s">
        <v>64</v>
      </c>
      <c r="E202" s="5" t="s">
        <v>509</v>
      </c>
      <c r="F202" s="5" t="s">
        <v>90</v>
      </c>
      <c r="G202" s="5" t="s">
        <v>414</v>
      </c>
      <c r="H202" s="49" t="s">
        <v>211</v>
      </c>
      <c r="I202" s="49">
        <v>300000</v>
      </c>
      <c r="J202" s="5"/>
      <c r="K202" s="53"/>
      <c r="L202" s="15"/>
      <c r="M202" s="24"/>
      <c r="N202" s="5" t="s">
        <v>258</v>
      </c>
      <c r="O202" s="5" t="s">
        <v>258</v>
      </c>
      <c r="P202" s="48"/>
      <c r="Q202" s="48" t="s">
        <v>278</v>
      </c>
      <c r="R202" s="48" t="s">
        <v>278</v>
      </c>
      <c r="S202" s="48"/>
      <c r="T202" s="49"/>
      <c r="U202" s="49" t="s">
        <v>4</v>
      </c>
      <c r="V202" s="5"/>
      <c r="W202" s="5"/>
      <c r="X202" s="5" t="s">
        <v>13</v>
      </c>
      <c r="Y202" s="50"/>
      <c r="Z202" s="50"/>
      <c r="AA202" s="50"/>
      <c r="AB202" s="78"/>
      <c r="AC202" s="34"/>
      <c r="AD202" s="34"/>
      <c r="AE202" s="34"/>
      <c r="AF202" s="34">
        <f>Project_List[[#This Row],[Professional Service Agreement (PSA) Amount]]+Project_List[[#This Row],[Engineer''s Est]]+Project_List[[#This Row],[Estimated COA
Engineering / 
Admin]]</f>
        <v>0</v>
      </c>
      <c r="AG202" s="34">
        <f>Project_List[[#This Row],[Professional Service Agreement (PSA) Amount]]+Project_List[[#This Row],[Final Construction Costs]]+Project_List[[#This Row],[Estimated COA
Engineering / 
Admin]]</f>
        <v>0</v>
      </c>
      <c r="AH202" s="14">
        <f>Project_List[[#This Row],[Overall Budget]]-Project_List[[#This Row],[Total Anticipated Costs (PSA+Est+COA Est)]]-Project_List[[#This Row],[Anticipated Costs Unincombered]]</f>
        <v>300000</v>
      </c>
      <c r="AI202" s="5"/>
      <c r="AJ202" s="54"/>
      <c r="AK202" s="51"/>
      <c r="AL202" s="5">
        <v>0</v>
      </c>
    </row>
    <row r="203" spans="1:38" ht="30" x14ac:dyDescent="0.25">
      <c r="A203" s="52" t="s">
        <v>278</v>
      </c>
      <c r="B203" s="5">
        <v>387</v>
      </c>
      <c r="C203" s="5" t="str">
        <f>LOOKUP(Project_List[[#This Row],[Fund No.]],'Code Lookup'!A$9:A$53,'Code Lookup'!B$9:B$53)</f>
        <v>2026/27 GO Bonds</v>
      </c>
      <c r="D203" s="5" t="s">
        <v>30</v>
      </c>
      <c r="E203" s="5" t="s">
        <v>469</v>
      </c>
      <c r="F203" s="5" t="s">
        <v>314</v>
      </c>
      <c r="G203" s="5" t="s">
        <v>277</v>
      </c>
      <c r="H203" s="49" t="s">
        <v>211</v>
      </c>
      <c r="I203" s="49">
        <v>1500000</v>
      </c>
      <c r="J203" s="5"/>
      <c r="K203" s="53"/>
      <c r="L203" s="15"/>
      <c r="M203" s="24"/>
      <c r="N203" s="5" t="s">
        <v>278</v>
      </c>
      <c r="O203" s="5" t="s">
        <v>278</v>
      </c>
      <c r="P203" s="48"/>
      <c r="Q203" s="48"/>
      <c r="R203" s="48" t="s">
        <v>278</v>
      </c>
      <c r="S203" s="48"/>
      <c r="T203" s="49"/>
      <c r="U203" s="49"/>
      <c r="V203" s="5"/>
      <c r="W203" s="5"/>
      <c r="X203" s="5" t="s">
        <v>10</v>
      </c>
      <c r="Y203" s="50"/>
      <c r="Z203" s="50"/>
      <c r="AA203" s="50"/>
      <c r="AB203" s="78"/>
      <c r="AC203" s="34"/>
      <c r="AD203" s="34"/>
      <c r="AE203" s="34"/>
      <c r="AF203" s="34">
        <f>Project_List[[#This Row],[Professional Service Agreement (PSA) Amount]]+Project_List[[#This Row],[Engineer''s Est]]+Project_List[[#This Row],[Estimated COA
Engineering / 
Admin]]</f>
        <v>0</v>
      </c>
      <c r="AG203" s="50">
        <f>Project_List[[#This Row],[Professional Service Agreement (PSA) Amount]]+Project_List[[#This Row],[Final Construction Costs]]+Project_List[[#This Row],[Estimated COA
Engineering / 
Admin]]</f>
        <v>0</v>
      </c>
      <c r="AH203" s="13">
        <f>Project_List[[#This Row],[Overall Budget]]-Project_List[[#This Row],[Total Anticipated Costs (PSA+Est+COA Est)]]-Project_List[[#This Row],[Anticipated Costs Unincombered]]</f>
        <v>1500000</v>
      </c>
      <c r="AI203" s="4"/>
      <c r="AJ203" s="54"/>
      <c r="AK203" s="51" t="s">
        <v>10</v>
      </c>
      <c r="AL203" s="5">
        <v>1</v>
      </c>
    </row>
    <row r="204" spans="1:38" x14ac:dyDescent="0.25">
      <c r="A204" s="52" t="s">
        <v>278</v>
      </c>
      <c r="B204" s="5">
        <v>560</v>
      </c>
      <c r="C204" s="5" t="str">
        <f>LOOKUP(Project_List[[#This Row],[Fund No.]],'Code Lookup'!A$9:A$53,'Code Lookup'!B$9:B$53)</f>
        <v>Stormwater Utility</v>
      </c>
      <c r="D204" s="5" t="s">
        <v>68</v>
      </c>
      <c r="E204" s="5" t="s">
        <v>532</v>
      </c>
      <c r="F204" s="5" t="s">
        <v>333</v>
      </c>
      <c r="G204" s="5" t="s">
        <v>531</v>
      </c>
      <c r="H204" s="49" t="s">
        <v>211</v>
      </c>
      <c r="I204" s="49">
        <v>50000</v>
      </c>
      <c r="J204" s="5"/>
      <c r="K204" s="53" t="s">
        <v>4</v>
      </c>
      <c r="L204" s="15">
        <v>0</v>
      </c>
      <c r="M204" s="24"/>
      <c r="N204" s="5" t="s">
        <v>278</v>
      </c>
      <c r="O204" s="5" t="s">
        <v>278</v>
      </c>
      <c r="P204" s="48"/>
      <c r="Q204" s="48"/>
      <c r="R204" s="48" t="s">
        <v>278</v>
      </c>
      <c r="S204" s="48"/>
      <c r="T204" s="49"/>
      <c r="U204" s="49"/>
      <c r="V204" s="5"/>
      <c r="W204" s="5"/>
      <c r="X204" s="5"/>
      <c r="Y204" s="50"/>
      <c r="Z204" s="50"/>
      <c r="AA204" s="50"/>
      <c r="AB204" s="78"/>
      <c r="AC204" s="34"/>
      <c r="AD204" s="34"/>
      <c r="AE204" s="34"/>
      <c r="AF204" s="34">
        <f>Project_List[[#This Row],[Professional Service Agreement (PSA) Amount]]+Project_List[[#This Row],[Engineer''s Est]]+Project_List[[#This Row],[Estimated COA
Engineering / 
Admin]]</f>
        <v>0</v>
      </c>
      <c r="AG204" s="34">
        <f>Project_List[[#This Row],[Professional Service Agreement (PSA) Amount]]+Project_List[[#This Row],[Final Construction Costs]]+Project_List[[#This Row],[Estimated COA
Engineering / 
Admin]]</f>
        <v>0</v>
      </c>
      <c r="AH204" s="14">
        <f>Project_List[[#This Row],[Overall Budget]]-Project_List[[#This Row],[Total Anticipated Costs (PSA+Est+COA Est)]]-Project_List[[#This Row],[Anticipated Costs Unincombered]]</f>
        <v>50000</v>
      </c>
      <c r="AI204" s="5"/>
      <c r="AJ204" s="54"/>
      <c r="AK204" s="51"/>
      <c r="AL204" s="5">
        <v>0</v>
      </c>
    </row>
    <row r="205" spans="1:38" ht="30" x14ac:dyDescent="0.25">
      <c r="A205" s="52" t="s">
        <v>278</v>
      </c>
      <c r="B205" s="5">
        <v>520</v>
      </c>
      <c r="C205" s="5" t="str">
        <f>LOOKUP(Project_List[[#This Row],[Fund No.]],'Code Lookup'!A$9:A$53,'Code Lookup'!B$9:B$53)</f>
        <v>Sewer Utility</v>
      </c>
      <c r="D205" s="5" t="s">
        <v>322</v>
      </c>
      <c r="E205" s="5" t="s">
        <v>510</v>
      </c>
      <c r="F205" s="5" t="s">
        <v>133</v>
      </c>
      <c r="G205" s="5" t="s">
        <v>355</v>
      </c>
      <c r="H205" s="49" t="s">
        <v>211</v>
      </c>
      <c r="I205" s="49">
        <v>850000</v>
      </c>
      <c r="J205" s="5"/>
      <c r="K205" s="53"/>
      <c r="L205" s="15"/>
      <c r="M205" s="24"/>
      <c r="N205" s="5" t="s">
        <v>278</v>
      </c>
      <c r="O205" s="5" t="s">
        <v>278</v>
      </c>
      <c r="P205" s="48"/>
      <c r="Q205" s="48"/>
      <c r="R205" s="48" t="s">
        <v>278</v>
      </c>
      <c r="S205" s="48"/>
      <c r="T205" s="49"/>
      <c r="U205" s="49"/>
      <c r="V205" s="5"/>
      <c r="W205" s="5"/>
      <c r="X205" s="5"/>
      <c r="Y205" s="50"/>
      <c r="Z205" s="50"/>
      <c r="AA205" s="50"/>
      <c r="AB205" s="78"/>
      <c r="AC205" s="34"/>
      <c r="AD205" s="34"/>
      <c r="AE205" s="34"/>
      <c r="AF205" s="34">
        <f>Project_List[[#This Row],[Professional Service Agreement (PSA) Amount]]+Project_List[[#This Row],[Engineer''s Est]]+Project_List[[#This Row],[Estimated COA
Engineering / 
Admin]]</f>
        <v>0</v>
      </c>
      <c r="AG205" s="34">
        <f>Project_List[[#This Row],[Professional Service Agreement (PSA) Amount]]+Project_List[[#This Row],[Final Construction Costs]]+Project_List[[#This Row],[Estimated COA
Engineering / 
Admin]]</f>
        <v>0</v>
      </c>
      <c r="AH205" s="14">
        <f>Project_List[[#This Row],[Overall Budget]]-Project_List[[#This Row],[Total Anticipated Costs (PSA+Est+COA Est)]]-Project_List[[#This Row],[Anticipated Costs Unincombered]]</f>
        <v>850000</v>
      </c>
      <c r="AI205" s="5"/>
      <c r="AJ205" s="54"/>
      <c r="AK205" s="51"/>
      <c r="AL205" s="5">
        <f>COUNTA(_xlfn.UNIQUE(Project_List[[#This Row],[Project Name]]))</f>
        <v>1</v>
      </c>
    </row>
    <row r="206" spans="1:38" ht="30" x14ac:dyDescent="0.25">
      <c r="A206" s="52" t="s">
        <v>278</v>
      </c>
      <c r="B206" s="5">
        <v>520</v>
      </c>
      <c r="C206" s="5" t="str">
        <f>LOOKUP(Project_List[[#This Row],[Fund No.]],'Code Lookup'!A$9:A$53,'Code Lookup'!B$9:B$53)</f>
        <v>Sewer Utility</v>
      </c>
      <c r="D206" s="5" t="s">
        <v>322</v>
      </c>
      <c r="E206" s="5" t="s">
        <v>510</v>
      </c>
      <c r="F206" s="5" t="s">
        <v>333</v>
      </c>
      <c r="G206" s="5" t="s">
        <v>531</v>
      </c>
      <c r="H206" s="49" t="s">
        <v>211</v>
      </c>
      <c r="I206" s="49">
        <v>75000</v>
      </c>
      <c r="J206" s="5"/>
      <c r="K206" s="53" t="s">
        <v>4</v>
      </c>
      <c r="L206" s="15">
        <v>0</v>
      </c>
      <c r="M206" s="24"/>
      <c r="N206" s="5" t="s">
        <v>278</v>
      </c>
      <c r="O206" s="5" t="s">
        <v>278</v>
      </c>
      <c r="P206" s="48"/>
      <c r="Q206" s="48"/>
      <c r="R206" s="48" t="s">
        <v>278</v>
      </c>
      <c r="S206" s="48"/>
      <c r="T206" s="49"/>
      <c r="U206" s="49"/>
      <c r="V206" s="5"/>
      <c r="W206" s="5"/>
      <c r="X206" s="5"/>
      <c r="Y206" s="50"/>
      <c r="Z206" s="50"/>
      <c r="AA206" s="50"/>
      <c r="AB206" s="78"/>
      <c r="AC206" s="34"/>
      <c r="AD206" s="34"/>
      <c r="AE206" s="34"/>
      <c r="AF206" s="34">
        <f>Project_List[[#This Row],[Professional Service Agreement (PSA) Amount]]+Project_List[[#This Row],[Engineer''s Est]]+Project_List[[#This Row],[Estimated COA
Engineering / 
Admin]]</f>
        <v>0</v>
      </c>
      <c r="AG206" s="34">
        <f>Project_List[[#This Row],[Professional Service Agreement (PSA) Amount]]+Project_List[[#This Row],[Final Construction Costs]]+Project_List[[#This Row],[Estimated COA
Engineering / 
Admin]]</f>
        <v>0</v>
      </c>
      <c r="AH206" s="14">
        <f>Project_List[[#This Row],[Overall Budget]]-Project_List[[#This Row],[Total Anticipated Costs (PSA+Est+COA Est)]]-Project_List[[#This Row],[Anticipated Costs Unincombered]]</f>
        <v>75000</v>
      </c>
      <c r="AI206" s="5"/>
      <c r="AJ206" s="54"/>
      <c r="AK206" s="51"/>
      <c r="AL206" s="5">
        <v>0</v>
      </c>
    </row>
    <row r="207" spans="1:38" ht="30" x14ac:dyDescent="0.25">
      <c r="A207" s="52" t="s">
        <v>278</v>
      </c>
      <c r="B207" s="5">
        <v>388</v>
      </c>
      <c r="C207" s="5" t="str">
        <f>LOOKUP(Project_List[[#This Row],[Fund No.]],'Code Lookup'!A$9:A$53,'Code Lookup'!B$9:B$53)</f>
        <v>2027/28 GO Bonds</v>
      </c>
      <c r="D207" s="5" t="s">
        <v>30</v>
      </c>
      <c r="E207" s="5" t="s">
        <v>470</v>
      </c>
      <c r="F207" s="5" t="s">
        <v>314</v>
      </c>
      <c r="G207" s="1" t="s">
        <v>354</v>
      </c>
      <c r="H207" s="49" t="s">
        <v>211</v>
      </c>
      <c r="I207" s="49">
        <v>1500000</v>
      </c>
      <c r="J207" s="5"/>
      <c r="K207" s="53"/>
      <c r="L207" s="15"/>
      <c r="M207" s="24"/>
      <c r="N207" s="5" t="s">
        <v>278</v>
      </c>
      <c r="O207" s="5" t="s">
        <v>278</v>
      </c>
      <c r="P207" s="48"/>
      <c r="Q207" s="48"/>
      <c r="R207" s="48" t="s">
        <v>281</v>
      </c>
      <c r="S207" s="48"/>
      <c r="T207" s="49"/>
      <c r="U207" s="49"/>
      <c r="V207" s="5"/>
      <c r="W207" s="5"/>
      <c r="X207" s="5" t="s">
        <v>10</v>
      </c>
      <c r="Y207" s="50"/>
      <c r="Z207" s="50"/>
      <c r="AA207" s="50"/>
      <c r="AB207" s="78"/>
      <c r="AC207" s="34"/>
      <c r="AD207" s="34"/>
      <c r="AE207" s="34"/>
      <c r="AF207" s="34">
        <f>Project_List[[#This Row],[Professional Service Agreement (PSA) Amount]]+Project_List[[#This Row],[Engineer''s Est]]+Project_List[[#This Row],[Estimated COA
Engineering / 
Admin]]</f>
        <v>0</v>
      </c>
      <c r="AG207" s="50">
        <f>Project_List[[#This Row],[Professional Service Agreement (PSA) Amount]]+Project_List[[#This Row],[Final Construction Costs]]+Project_List[[#This Row],[Estimated COA
Engineering / 
Admin]]</f>
        <v>0</v>
      </c>
      <c r="AH207" s="13">
        <f>Project_List[[#This Row],[Overall Budget]]-Project_List[[#This Row],[Total Anticipated Costs (PSA+Est+COA Est)]]-Project_List[[#This Row],[Anticipated Costs Unincombered]]</f>
        <v>1500000</v>
      </c>
      <c r="AI207" s="4"/>
      <c r="AJ207" s="54"/>
      <c r="AK207" s="51" t="s">
        <v>10</v>
      </c>
      <c r="AL207" s="5">
        <v>1</v>
      </c>
    </row>
    <row r="208" spans="1:38" ht="30" x14ac:dyDescent="0.25">
      <c r="A208" s="52" t="s">
        <v>278</v>
      </c>
      <c r="B208" s="5"/>
      <c r="C208" s="5" t="e">
        <f>LOOKUP(Project_List[[#This Row],[Fund No.]],'Code Lookup'!A$9:A$53,'Code Lookup'!B$9:B$53)</f>
        <v>#N/A</v>
      </c>
      <c r="D208" s="5"/>
      <c r="E208" s="5"/>
      <c r="F208" s="5" t="s">
        <v>313</v>
      </c>
      <c r="G208" s="5" t="s">
        <v>336</v>
      </c>
      <c r="H208" s="49" t="s">
        <v>211</v>
      </c>
      <c r="I208" s="49"/>
      <c r="J208" s="5"/>
      <c r="K208" s="53"/>
      <c r="L208" s="15"/>
      <c r="M208" s="24"/>
      <c r="N208" s="5" t="s">
        <v>278</v>
      </c>
      <c r="O208" s="5" t="s">
        <v>278</v>
      </c>
      <c r="P208" s="48"/>
      <c r="Q208" s="48"/>
      <c r="R208" s="48" t="s">
        <v>281</v>
      </c>
      <c r="S208" s="48"/>
      <c r="T208" s="49"/>
      <c r="U208" s="49"/>
      <c r="V208" s="5"/>
      <c r="W208" s="5"/>
      <c r="X208" s="5" t="s">
        <v>10</v>
      </c>
      <c r="Y208" s="50"/>
      <c r="Z208" s="50"/>
      <c r="AA208" s="50"/>
      <c r="AB208" s="78"/>
      <c r="AC208" s="34"/>
      <c r="AD208" s="34"/>
      <c r="AE208" s="34"/>
      <c r="AF208" s="34">
        <f>Project_List[[#This Row],[Professional Service Agreement (PSA) Amount]]+Project_List[[#This Row],[Engineer''s Est]]+Project_List[[#This Row],[Estimated COA
Engineering / 
Admin]]</f>
        <v>0</v>
      </c>
      <c r="AG208" s="50">
        <f>Project_List[[#This Row],[Professional Service Agreement (PSA) Amount]]+Project_List[[#This Row],[Final Construction Costs]]+Project_List[[#This Row],[Estimated COA
Engineering / 
Admin]]</f>
        <v>0</v>
      </c>
      <c r="AH208" s="13">
        <f>Project_List[[#This Row],[Overall Budget]]-Project_List[[#This Row],[Total Anticipated Costs (PSA+Est+COA Est)]]-Project_List[[#This Row],[Anticipated Costs Unincombered]]</f>
        <v>0</v>
      </c>
      <c r="AI208" s="4"/>
      <c r="AJ208" s="54"/>
      <c r="AK208" s="51" t="s">
        <v>10</v>
      </c>
      <c r="AL208" s="5">
        <v>1</v>
      </c>
    </row>
    <row r="209" spans="1:38" ht="30" x14ac:dyDescent="0.25">
      <c r="A209" s="52" t="s">
        <v>278</v>
      </c>
      <c r="B209" s="5">
        <v>60</v>
      </c>
      <c r="C209" s="5" t="str">
        <f>LOOKUP(Project_List[[#This Row],[Fund No.]],'Code Lookup'!A$9:A$53,'Code Lookup'!B$9:B$53)</f>
        <v>Road Use Tax</v>
      </c>
      <c r="D209" s="5" t="s">
        <v>292</v>
      </c>
      <c r="E209" s="5" t="s">
        <v>216</v>
      </c>
      <c r="F209" s="5" t="s">
        <v>218</v>
      </c>
      <c r="G209" s="5" t="s">
        <v>410</v>
      </c>
      <c r="H209" s="49" t="s">
        <v>211</v>
      </c>
      <c r="I209" s="49">
        <v>150000</v>
      </c>
      <c r="J209" s="5"/>
      <c r="K209" s="53"/>
      <c r="L209" s="15"/>
      <c r="M209" s="24"/>
      <c r="N209" s="5" t="s">
        <v>278</v>
      </c>
      <c r="O209" s="5" t="s">
        <v>278</v>
      </c>
      <c r="P209" s="48"/>
      <c r="Q209" s="48"/>
      <c r="R209" s="48" t="s">
        <v>281</v>
      </c>
      <c r="S209" s="48"/>
      <c r="T209" s="49"/>
      <c r="U209" s="49"/>
      <c r="V209" s="5"/>
      <c r="W209" s="5"/>
      <c r="X209" s="5" t="s">
        <v>10</v>
      </c>
      <c r="Y209" s="50"/>
      <c r="Z209" s="50"/>
      <c r="AA209" s="50"/>
      <c r="AB209" s="78"/>
      <c r="AC209" s="34"/>
      <c r="AD209" s="34"/>
      <c r="AE209" s="34"/>
      <c r="AF209" s="34">
        <f>Project_List[[#This Row],[Professional Service Agreement (PSA) Amount]]+Project_List[[#This Row],[Engineer''s Est]]+Project_List[[#This Row],[Estimated COA
Engineering / 
Admin]]</f>
        <v>0</v>
      </c>
      <c r="AG209" s="50">
        <f>Project_List[[#This Row],[Professional Service Agreement (PSA) Amount]]+Project_List[[#This Row],[Final Construction Costs]]+Project_List[[#This Row],[Estimated COA
Engineering / 
Admin]]</f>
        <v>0</v>
      </c>
      <c r="AH209" s="13">
        <f>Project_List[[#This Row],[Overall Budget]]-Project_List[[#This Row],[Total Anticipated Costs (PSA+Est+COA Est)]]-Project_List[[#This Row],[Anticipated Costs Unincombered]]</f>
        <v>150000</v>
      </c>
      <c r="AI209" s="4"/>
      <c r="AJ209" s="54"/>
      <c r="AK209" s="51" t="s">
        <v>10</v>
      </c>
      <c r="AL209" s="5">
        <v>0</v>
      </c>
    </row>
    <row r="210" spans="1:38" ht="30" x14ac:dyDescent="0.25">
      <c r="A210" s="52" t="s">
        <v>278</v>
      </c>
      <c r="B210" s="5">
        <v>388</v>
      </c>
      <c r="C210" s="5" t="str">
        <f>LOOKUP(Project_List[[#This Row],[Fund No.]],'Code Lookup'!A$9:A$53,'Code Lookup'!B$9:B$53)</f>
        <v>2027/28 GO Bonds</v>
      </c>
      <c r="D210" s="5" t="s">
        <v>30</v>
      </c>
      <c r="E210" s="5"/>
      <c r="F210" s="5" t="s">
        <v>316</v>
      </c>
      <c r="G210" s="5" t="s">
        <v>410</v>
      </c>
      <c r="H210" s="49" t="s">
        <v>211</v>
      </c>
      <c r="I210" s="49">
        <v>750000</v>
      </c>
      <c r="J210" s="5"/>
      <c r="K210" s="53"/>
      <c r="L210" s="15"/>
      <c r="M210" s="24"/>
      <c r="N210" s="5" t="s">
        <v>278</v>
      </c>
      <c r="O210" s="5" t="s">
        <v>278</v>
      </c>
      <c r="P210" s="48"/>
      <c r="Q210" s="48"/>
      <c r="R210" s="48" t="s">
        <v>281</v>
      </c>
      <c r="S210" s="48"/>
      <c r="T210" s="49"/>
      <c r="U210" s="49"/>
      <c r="V210" s="5"/>
      <c r="W210" s="5"/>
      <c r="X210" s="5" t="s">
        <v>10</v>
      </c>
      <c r="Y210" s="50"/>
      <c r="Z210" s="50"/>
      <c r="AA210" s="50"/>
      <c r="AB210" s="78"/>
      <c r="AC210" s="34"/>
      <c r="AD210" s="34"/>
      <c r="AE210" s="34"/>
      <c r="AF210" s="34">
        <f>Project_List[[#This Row],[Professional Service Agreement (PSA) Amount]]+Project_List[[#This Row],[Engineer''s Est]]+Project_List[[#This Row],[Estimated COA
Engineering / 
Admin]]</f>
        <v>0</v>
      </c>
      <c r="AG210" s="50">
        <f>Project_List[[#This Row],[Professional Service Agreement (PSA) Amount]]+Project_List[[#This Row],[Final Construction Costs]]+Project_List[[#This Row],[Estimated COA
Engineering / 
Admin]]</f>
        <v>0</v>
      </c>
      <c r="AH210" s="50">
        <f>Project_List[[#This Row],[Overall Budget]]-Project_List[[#This Row],[Total Anticipated Costs (PSA+Est+COA Est)]]-Project_List[[#This Row],[Anticipated Costs Unincombered]]</f>
        <v>750000</v>
      </c>
      <c r="AI210" s="4"/>
      <c r="AJ210" s="54"/>
      <c r="AK210" s="51" t="s">
        <v>10</v>
      </c>
      <c r="AL210" s="5">
        <v>1</v>
      </c>
    </row>
    <row r="211" spans="1:38" ht="90" x14ac:dyDescent="0.25">
      <c r="A211" s="52" t="s">
        <v>278</v>
      </c>
      <c r="B211" s="5">
        <v>388</v>
      </c>
      <c r="C211" s="5" t="str">
        <f>LOOKUP(Project_List[[#This Row],[Fund No.]],'Code Lookup'!A$9:A$53,'Code Lookup'!B$9:B$53)</f>
        <v>2027/28 GO Bonds</v>
      </c>
      <c r="D211" s="5" t="s">
        <v>30</v>
      </c>
      <c r="E211" s="5" t="s">
        <v>511</v>
      </c>
      <c r="F211" s="5" t="s">
        <v>63</v>
      </c>
      <c r="G211" s="5" t="s">
        <v>280</v>
      </c>
      <c r="H211" s="49" t="s">
        <v>211</v>
      </c>
      <c r="I211" s="49">
        <v>4500000</v>
      </c>
      <c r="J211" s="5"/>
      <c r="K211" s="53"/>
      <c r="L211" s="15"/>
      <c r="M211" s="24"/>
      <c r="N211" s="5" t="s">
        <v>278</v>
      </c>
      <c r="O211" s="5" t="s">
        <v>278</v>
      </c>
      <c r="P211" s="48"/>
      <c r="Q211" s="48"/>
      <c r="R211" s="48" t="s">
        <v>281</v>
      </c>
      <c r="S211" s="48"/>
      <c r="T211" s="49"/>
      <c r="U211" s="49"/>
      <c r="V211" s="5"/>
      <c r="W211" s="5"/>
      <c r="X211" s="5" t="s">
        <v>10</v>
      </c>
      <c r="Y211" s="50"/>
      <c r="Z211" s="50"/>
      <c r="AA211" s="50"/>
      <c r="AB211" s="78"/>
      <c r="AC211" s="34"/>
      <c r="AD211" s="34"/>
      <c r="AE211" s="34"/>
      <c r="AF211" s="34">
        <f>Project_List[[#This Row],[Professional Service Agreement (PSA) Amount]]+Project_List[[#This Row],[Engineer''s Est]]+Project_List[[#This Row],[Estimated COA
Engineering / 
Admin]]</f>
        <v>0</v>
      </c>
      <c r="AG211" s="50">
        <f>Project_List[[#This Row],[Professional Service Agreement (PSA) Amount]]+Project_List[[#This Row],[Final Construction Costs]]+Project_List[[#This Row],[Estimated COA
Engineering / 
Admin]]</f>
        <v>0</v>
      </c>
      <c r="AH211" s="50">
        <f>Project_List[[#This Row],[Overall Budget]]-Project_List[[#This Row],[Total Anticipated Costs (PSA+Est+COA Est)]]-Project_List[[#This Row],[Anticipated Costs Unincombered]]</f>
        <v>4500000</v>
      </c>
      <c r="AI211" s="4"/>
      <c r="AJ211" s="54"/>
      <c r="AK211" s="51" t="s">
        <v>10</v>
      </c>
      <c r="AL211" s="5">
        <v>1</v>
      </c>
    </row>
    <row r="212" spans="1:38" ht="30" x14ac:dyDescent="0.25">
      <c r="A212" s="52" t="s">
        <v>278</v>
      </c>
      <c r="B212" s="5">
        <v>388</v>
      </c>
      <c r="C212" s="5" t="str">
        <f>LOOKUP(Project_List[[#This Row],[Fund No.]],'Code Lookup'!A$9:A$53,'Code Lookup'!B$9:B$53)</f>
        <v>2027/28 GO Bonds</v>
      </c>
      <c r="D212" s="5" t="s">
        <v>30</v>
      </c>
      <c r="E212" s="5" t="s">
        <v>511</v>
      </c>
      <c r="F212" s="5" t="s">
        <v>61</v>
      </c>
      <c r="G212" s="5" t="s">
        <v>355</v>
      </c>
      <c r="H212" s="49" t="s">
        <v>211</v>
      </c>
      <c r="I212" s="49">
        <v>1105000</v>
      </c>
      <c r="J212" s="5"/>
      <c r="K212" s="53"/>
      <c r="L212" s="15"/>
      <c r="M212" s="24"/>
      <c r="N212" s="5" t="s">
        <v>278</v>
      </c>
      <c r="O212" s="5" t="s">
        <v>278</v>
      </c>
      <c r="P212" s="48"/>
      <c r="Q212" s="48"/>
      <c r="R212" s="48" t="s">
        <v>281</v>
      </c>
      <c r="S212" s="48"/>
      <c r="T212" s="49"/>
      <c r="U212" s="49"/>
      <c r="V212" s="5"/>
      <c r="W212" s="5"/>
      <c r="X212" s="5" t="s">
        <v>10</v>
      </c>
      <c r="Y212" s="50"/>
      <c r="Z212" s="50"/>
      <c r="AA212" s="50"/>
      <c r="AB212" s="78"/>
      <c r="AC212" s="34"/>
      <c r="AD212" s="34"/>
      <c r="AE212" s="34"/>
      <c r="AF212" s="34">
        <f>Project_List[[#This Row],[Professional Service Agreement (PSA) Amount]]+Project_List[[#This Row],[Engineer''s Est]]+Project_List[[#This Row],[Estimated COA
Engineering / 
Admin]]</f>
        <v>0</v>
      </c>
      <c r="AG212" s="34">
        <f>Project_List[[#This Row],[Professional Service Agreement (PSA) Amount]]+Project_List[[#This Row],[Final Construction Costs]]+Project_List[[#This Row],[Estimated COA
Engineering / 
Admin]]</f>
        <v>0</v>
      </c>
      <c r="AH212" s="50">
        <f>Project_List[[#This Row],[Overall Budget]]-Project_List[[#This Row],[Total Anticipated Costs (PSA+Est+COA Est)]]-Project_List[[#This Row],[Anticipated Costs Unincombered]]</f>
        <v>1105000</v>
      </c>
      <c r="AI212" s="5"/>
      <c r="AJ212" s="54"/>
      <c r="AK212" s="51" t="s">
        <v>10</v>
      </c>
      <c r="AL212" s="5">
        <f>COUNTA(_xlfn.UNIQUE(Project_List[[#This Row],[Project Name]]))</f>
        <v>1</v>
      </c>
    </row>
    <row r="213" spans="1:38" ht="30" x14ac:dyDescent="0.25">
      <c r="A213" s="52" t="s">
        <v>278</v>
      </c>
      <c r="B213" s="5">
        <v>388</v>
      </c>
      <c r="C213" s="5" t="str">
        <f>LOOKUP(Project_List[[#This Row],[Fund No.]],'Code Lookup'!A$9:A$53,'Code Lookup'!B$9:B$53)</f>
        <v>2027/28 GO Bonds</v>
      </c>
      <c r="D213" s="5" t="s">
        <v>30</v>
      </c>
      <c r="E213" s="5"/>
      <c r="F213" s="5" t="s">
        <v>319</v>
      </c>
      <c r="G213" s="5" t="s">
        <v>290</v>
      </c>
      <c r="H213" s="49" t="s">
        <v>211</v>
      </c>
      <c r="I213" s="49">
        <v>1600000</v>
      </c>
      <c r="J213" s="5"/>
      <c r="K213" s="53"/>
      <c r="L213" s="15"/>
      <c r="M213" s="24"/>
      <c r="N213" s="5" t="s">
        <v>278</v>
      </c>
      <c r="O213" s="5" t="s">
        <v>278</v>
      </c>
      <c r="P213" s="48"/>
      <c r="Q213" s="48"/>
      <c r="R213" s="48" t="s">
        <v>281</v>
      </c>
      <c r="S213" s="48"/>
      <c r="T213" s="49"/>
      <c r="U213" s="49"/>
      <c r="V213" s="5"/>
      <c r="W213" s="5"/>
      <c r="X213" s="5" t="s">
        <v>10</v>
      </c>
      <c r="Y213" s="50"/>
      <c r="Z213" s="50"/>
      <c r="AA213" s="50"/>
      <c r="AB213" s="78"/>
      <c r="AC213" s="34"/>
      <c r="AD213" s="34"/>
      <c r="AE213" s="34"/>
      <c r="AF213" s="34">
        <f>Project_List[[#This Row],[Professional Service Agreement (PSA) Amount]]+Project_List[[#This Row],[Engineer''s Est]]+Project_List[[#This Row],[Estimated COA
Engineering / 
Admin]]</f>
        <v>0</v>
      </c>
      <c r="AG213" s="50">
        <f>Project_List[[#This Row],[Professional Service Agreement (PSA) Amount]]+Project_List[[#This Row],[Final Construction Costs]]+Project_List[[#This Row],[Estimated COA
Engineering / 
Admin]]</f>
        <v>0</v>
      </c>
      <c r="AH213" s="50">
        <f>Project_List[[#This Row],[Overall Budget]]-Project_List[[#This Row],[Total Anticipated Costs (PSA+Est+COA Est)]]-Project_List[[#This Row],[Anticipated Costs Unincombered]]</f>
        <v>1600000</v>
      </c>
      <c r="AI213" s="4"/>
      <c r="AJ213" s="54"/>
      <c r="AK213" s="51" t="s">
        <v>10</v>
      </c>
      <c r="AL213" s="5">
        <v>1</v>
      </c>
    </row>
    <row r="214" spans="1:38" ht="36.75" customHeight="1" x14ac:dyDescent="0.25">
      <c r="A214" s="52" t="s">
        <v>278</v>
      </c>
      <c r="B214" s="5">
        <v>388</v>
      </c>
      <c r="C214" s="5" t="str">
        <f>LOOKUP(Project_List[[#This Row],[Fund No.]],'Code Lookup'!A$9:A$53,'Code Lookup'!B$9:B$53)</f>
        <v>2027/28 GO Bonds</v>
      </c>
      <c r="D214" s="5" t="s">
        <v>30</v>
      </c>
      <c r="E214" s="5"/>
      <c r="F214" s="5" t="s">
        <v>321</v>
      </c>
      <c r="G214" s="5" t="s">
        <v>286</v>
      </c>
      <c r="H214" s="49" t="s">
        <v>211</v>
      </c>
      <c r="I214" s="49">
        <v>400000</v>
      </c>
      <c r="J214" s="5"/>
      <c r="K214" s="53"/>
      <c r="L214" s="15"/>
      <c r="M214" s="24"/>
      <c r="N214" s="5" t="s">
        <v>278</v>
      </c>
      <c r="O214" s="5" t="s">
        <v>278</v>
      </c>
      <c r="P214" s="48"/>
      <c r="Q214" s="48"/>
      <c r="R214" s="48" t="s">
        <v>278</v>
      </c>
      <c r="S214" s="48"/>
      <c r="T214" s="49"/>
      <c r="U214" s="49"/>
      <c r="V214" s="5"/>
      <c r="W214" s="5"/>
      <c r="X214" s="5" t="s">
        <v>10</v>
      </c>
      <c r="Y214" s="50"/>
      <c r="Z214" s="50"/>
      <c r="AA214" s="50"/>
      <c r="AB214" s="78"/>
      <c r="AC214" s="34"/>
      <c r="AD214" s="34"/>
      <c r="AE214" s="34"/>
      <c r="AF214" s="34">
        <f>Project_List[[#This Row],[Professional Service Agreement (PSA) Amount]]+Project_List[[#This Row],[Engineer''s Est]]+Project_List[[#This Row],[Estimated COA
Engineering / 
Admin]]</f>
        <v>0</v>
      </c>
      <c r="AG214" s="50">
        <f>Project_List[[#This Row],[Professional Service Agreement (PSA) Amount]]+Project_List[[#This Row],[Final Construction Costs]]+Project_List[[#This Row],[Estimated COA
Engineering / 
Admin]]</f>
        <v>0</v>
      </c>
      <c r="AH214" s="50">
        <f>Project_List[[#This Row],[Overall Budget]]-Project_List[[#This Row],[Total Anticipated Costs (PSA+Est+COA Est)]]-Project_List[[#This Row],[Anticipated Costs Unincombered]]</f>
        <v>400000</v>
      </c>
      <c r="AI214" s="4"/>
      <c r="AJ214" s="54"/>
      <c r="AK214" s="51" t="s">
        <v>10</v>
      </c>
      <c r="AL214" s="5">
        <v>1</v>
      </c>
    </row>
    <row r="215" spans="1:38" ht="30" x14ac:dyDescent="0.25">
      <c r="A215" s="52" t="s">
        <v>278</v>
      </c>
      <c r="B215" s="5">
        <v>389</v>
      </c>
      <c r="C215" s="5" t="str">
        <f>LOOKUP(Project_List[[#This Row],[Fund No.]],'Code Lookup'!A$9:A$53,'Code Lookup'!B$9:B$53)</f>
        <v>2028/29 GO Bonds</v>
      </c>
      <c r="D215" s="5" t="s">
        <v>30</v>
      </c>
      <c r="E215" s="5"/>
      <c r="F215" s="5" t="s">
        <v>321</v>
      </c>
      <c r="G215" s="5" t="s">
        <v>397</v>
      </c>
      <c r="H215" s="49" t="s">
        <v>211</v>
      </c>
      <c r="I215" s="49">
        <v>400000</v>
      </c>
      <c r="J215" s="5"/>
      <c r="K215" s="53"/>
      <c r="L215" s="15"/>
      <c r="M215" s="24"/>
      <c r="N215" s="5" t="s">
        <v>278</v>
      </c>
      <c r="O215" s="5" t="s">
        <v>278</v>
      </c>
      <c r="P215" s="48"/>
      <c r="Q215" s="48"/>
      <c r="R215" s="48" t="s">
        <v>281</v>
      </c>
      <c r="S215" s="48"/>
      <c r="T215" s="49"/>
      <c r="U215" s="49"/>
      <c r="V215" s="5"/>
      <c r="W215" s="5"/>
      <c r="X215" s="5" t="s">
        <v>10</v>
      </c>
      <c r="Y215" s="50"/>
      <c r="Z215" s="50"/>
      <c r="AA215" s="50"/>
      <c r="AB215" s="78"/>
      <c r="AC215" s="34"/>
      <c r="AD215" s="34"/>
      <c r="AE215" s="34"/>
      <c r="AF215" s="34">
        <f>Project_List[[#This Row],[Professional Service Agreement (PSA) Amount]]+Project_List[[#This Row],[Engineer''s Est]]+Project_List[[#This Row],[Estimated COA
Engineering / 
Admin]]</f>
        <v>0</v>
      </c>
      <c r="AG215" s="50">
        <f>Project_List[[#This Row],[Professional Service Agreement (PSA) Amount]]+Project_List[[#This Row],[Final Construction Costs]]+Project_List[[#This Row],[Estimated COA
Engineering / 
Admin]]</f>
        <v>0</v>
      </c>
      <c r="AH215" s="50">
        <f>Project_List[[#This Row],[Overall Budget]]-Project_List[[#This Row],[Total Anticipated Costs (PSA+Est+COA Est)]]-Project_List[[#This Row],[Anticipated Costs Unincombered]]</f>
        <v>400000</v>
      </c>
      <c r="AI215" s="4"/>
      <c r="AJ215" s="54"/>
      <c r="AK215" s="51" t="s">
        <v>10</v>
      </c>
      <c r="AL215" s="5">
        <v>1</v>
      </c>
    </row>
    <row r="216" spans="1:38" ht="30" x14ac:dyDescent="0.25">
      <c r="A216" s="52" t="s">
        <v>278</v>
      </c>
      <c r="B216" s="5">
        <v>388</v>
      </c>
      <c r="C216" s="5" t="str">
        <f>LOOKUP(Project_List[[#This Row],[Fund No.]],'Code Lookup'!A$9:A$53,'Code Lookup'!B$9:B$53)</f>
        <v>2027/28 GO Bonds</v>
      </c>
      <c r="D216" s="5" t="s">
        <v>30</v>
      </c>
      <c r="E216" s="5"/>
      <c r="F216" s="5" t="s">
        <v>60</v>
      </c>
      <c r="G216" s="5" t="s">
        <v>284</v>
      </c>
      <c r="H216" s="49" t="s">
        <v>211</v>
      </c>
      <c r="I216" s="49">
        <v>1300000</v>
      </c>
      <c r="J216" s="5"/>
      <c r="K216" s="53"/>
      <c r="L216" s="15"/>
      <c r="M216" s="24"/>
      <c r="N216" s="5" t="s">
        <v>278</v>
      </c>
      <c r="O216" s="5" t="s">
        <v>278</v>
      </c>
      <c r="P216" s="48"/>
      <c r="Q216" s="48"/>
      <c r="R216" s="48" t="s">
        <v>281</v>
      </c>
      <c r="S216" s="48"/>
      <c r="T216" s="49"/>
      <c r="U216" s="49"/>
      <c r="V216" s="5"/>
      <c r="W216" s="5"/>
      <c r="X216" s="5" t="s">
        <v>10</v>
      </c>
      <c r="Y216" s="50"/>
      <c r="Z216" s="50"/>
      <c r="AA216" s="50"/>
      <c r="AB216" s="78"/>
      <c r="AC216" s="34"/>
      <c r="AD216" s="34"/>
      <c r="AE216" s="34"/>
      <c r="AF216" s="34">
        <f>Project_List[[#This Row],[Professional Service Agreement (PSA) Amount]]+Project_List[[#This Row],[Engineer''s Est]]+Project_List[[#This Row],[Estimated COA
Engineering / 
Admin]]</f>
        <v>0</v>
      </c>
      <c r="AG216" s="50">
        <f>Project_List[[#This Row],[Professional Service Agreement (PSA) Amount]]+Project_List[[#This Row],[Final Construction Costs]]+Project_List[[#This Row],[Estimated COA
Engineering / 
Admin]]</f>
        <v>0</v>
      </c>
      <c r="AH216" s="50">
        <f>Project_List[[#This Row],[Overall Budget]]-Project_List[[#This Row],[Total Anticipated Costs (PSA+Est+COA Est)]]-Project_List[[#This Row],[Anticipated Costs Unincombered]]</f>
        <v>1300000</v>
      </c>
      <c r="AI216" s="4"/>
      <c r="AJ216" s="54"/>
      <c r="AK216" s="51" t="s">
        <v>10</v>
      </c>
      <c r="AL216" s="5">
        <v>1</v>
      </c>
    </row>
    <row r="217" spans="1:38" ht="30" x14ac:dyDescent="0.25">
      <c r="A217" s="52" t="s">
        <v>278</v>
      </c>
      <c r="B217" s="5">
        <v>60</v>
      </c>
      <c r="C217" s="5" t="str">
        <f>LOOKUP(Project_List[[#This Row],[Fund No.]],'Code Lookup'!A$9:A$53,'Code Lookup'!B$9:B$53)</f>
        <v>Road Use Tax</v>
      </c>
      <c r="D217" s="5" t="s">
        <v>30</v>
      </c>
      <c r="E217" s="5" t="s">
        <v>530</v>
      </c>
      <c r="F217" s="5" t="s">
        <v>333</v>
      </c>
      <c r="G217" s="5" t="s">
        <v>531</v>
      </c>
      <c r="H217" s="49" t="s">
        <v>211</v>
      </c>
      <c r="I217" s="49">
        <v>125000</v>
      </c>
      <c r="J217" s="5"/>
      <c r="K217" s="53" t="s">
        <v>4</v>
      </c>
      <c r="L217" s="15">
        <v>0</v>
      </c>
      <c r="M217" s="24"/>
      <c r="N217" s="5" t="s">
        <v>278</v>
      </c>
      <c r="O217" s="5" t="s">
        <v>278</v>
      </c>
      <c r="P217" s="48"/>
      <c r="Q217" s="48"/>
      <c r="R217" s="48" t="s">
        <v>278</v>
      </c>
      <c r="S217" s="48"/>
      <c r="T217" s="49"/>
      <c r="U217" s="49"/>
      <c r="V217" s="5"/>
      <c r="W217" s="5"/>
      <c r="X217" s="5"/>
      <c r="Y217" s="50"/>
      <c r="Z217" s="50"/>
      <c r="AA217" s="50"/>
      <c r="AB217" s="78"/>
      <c r="AC217" s="34"/>
      <c r="AD217" s="34"/>
      <c r="AE217" s="34"/>
      <c r="AF217" s="34">
        <f>Project_List[[#This Row],[Professional Service Agreement (PSA) Amount]]+Project_List[[#This Row],[Engineer''s Est]]+Project_List[[#This Row],[Estimated COA
Engineering / 
Admin]]</f>
        <v>0</v>
      </c>
      <c r="AG217" s="34">
        <f>Project_List[[#This Row],[Professional Service Agreement (PSA) Amount]]+Project_List[[#This Row],[Final Construction Costs]]+Project_List[[#This Row],[Estimated COA
Engineering / 
Admin]]</f>
        <v>0</v>
      </c>
      <c r="AH217" s="34">
        <f>Project_List[[#This Row],[Overall Budget]]-Project_List[[#This Row],[Total Anticipated Costs (PSA+Est+COA Est)]]-Project_List[[#This Row],[Anticipated Costs Unincombered]]</f>
        <v>125000</v>
      </c>
      <c r="AI217" s="5"/>
      <c r="AJ217" s="54"/>
      <c r="AK217" s="51"/>
      <c r="AL217" s="5">
        <v>0</v>
      </c>
    </row>
    <row r="218" spans="1:38" ht="30" x14ac:dyDescent="0.25">
      <c r="A218" s="43" t="s">
        <v>278</v>
      </c>
      <c r="B218" s="1">
        <v>510</v>
      </c>
      <c r="C218" s="5" t="str">
        <f>LOOKUP(Project_List[[#This Row],[Fund No.]],'Code Lookup'!A$9:A$53,'Code Lookup'!B$9:B$53)</f>
        <v>Water Utility</v>
      </c>
      <c r="D218" s="1" t="s">
        <v>64</v>
      </c>
      <c r="E218" s="1" t="s">
        <v>509</v>
      </c>
      <c r="F218" s="1" t="s">
        <v>333</v>
      </c>
      <c r="G218" s="1" t="s">
        <v>531</v>
      </c>
      <c r="H218" s="32" t="s">
        <v>211</v>
      </c>
      <c r="I218" s="32">
        <v>75000</v>
      </c>
      <c r="K218" s="8" t="s">
        <v>4</v>
      </c>
      <c r="L218" s="21">
        <v>0</v>
      </c>
      <c r="M218" s="23"/>
      <c r="N218" s="1" t="s">
        <v>278</v>
      </c>
      <c r="O218" s="1" t="s">
        <v>278</v>
      </c>
      <c r="P218" s="37"/>
      <c r="Q218" s="37"/>
      <c r="R218" s="48" t="s">
        <v>278</v>
      </c>
      <c r="S218" s="37"/>
      <c r="Y218" s="13"/>
      <c r="Z218" s="13"/>
      <c r="AA218" s="50"/>
      <c r="AB218" s="78"/>
      <c r="AC218" s="14"/>
      <c r="AD218" s="34"/>
      <c r="AE218" s="34"/>
      <c r="AF218" s="14">
        <f>Project_List[[#This Row],[Professional Service Agreement (PSA) Amount]]+Project_List[[#This Row],[Engineer''s Est]]+Project_List[[#This Row],[Estimated COA
Engineering / 
Admin]]</f>
        <v>0</v>
      </c>
      <c r="AG218" s="14">
        <f>Project_List[[#This Row],[Professional Service Agreement (PSA) Amount]]+Project_List[[#This Row],[Final Construction Costs]]+Project_List[[#This Row],[Estimated COA
Engineering / 
Admin]]</f>
        <v>0</v>
      </c>
      <c r="AH218" s="14">
        <f>Project_List[[#This Row],[Overall Budget]]-Project_List[[#This Row],[Total Anticipated Costs (PSA+Est+COA Est)]]-Project_List[[#This Row],[Anticipated Costs Unincombered]]</f>
        <v>75000</v>
      </c>
      <c r="AJ218" s="36"/>
      <c r="AK218" s="42"/>
      <c r="AL218" s="1">
        <v>0</v>
      </c>
    </row>
    <row r="219" spans="1:38" ht="30" x14ac:dyDescent="0.25">
      <c r="A219" s="43" t="s">
        <v>278</v>
      </c>
      <c r="B219" s="86">
        <v>510</v>
      </c>
      <c r="C219" s="87" t="str">
        <f>LOOKUP(Project_List[[#This Row],[Fund No.]],'Code Lookup'!A$9:A$53,'Code Lookup'!B$9:B$53)</f>
        <v>Water Utility</v>
      </c>
      <c r="D219" s="86" t="s">
        <v>68</v>
      </c>
      <c r="E219" s="1" t="s">
        <v>509</v>
      </c>
      <c r="F219" s="1" t="s">
        <v>579</v>
      </c>
      <c r="G219" s="1" t="s">
        <v>365</v>
      </c>
      <c r="H219" s="32" t="s">
        <v>211</v>
      </c>
      <c r="I219" s="103">
        <v>600000</v>
      </c>
      <c r="K219" s="8"/>
      <c r="L219" s="21"/>
      <c r="M219" s="23"/>
      <c r="N219" s="1" t="s">
        <v>278</v>
      </c>
      <c r="O219" s="1" t="s">
        <v>278</v>
      </c>
      <c r="P219" s="37"/>
      <c r="Q219" s="37"/>
      <c r="R219" s="37" t="s">
        <v>281</v>
      </c>
      <c r="S219" s="37"/>
      <c r="X219" s="1" t="s">
        <v>10</v>
      </c>
      <c r="Y219" s="13"/>
      <c r="Z219" s="13"/>
      <c r="AA219" s="50"/>
      <c r="AB219" s="78"/>
      <c r="AC219" s="14"/>
      <c r="AD219" s="14"/>
      <c r="AE219" s="14"/>
      <c r="AF219" s="14">
        <f>Project_List[[#This Row],[Professional Service Agreement (PSA) Amount]]+Project_List[[#This Row],[Engineer''s Est]]+Project_List[[#This Row],[Estimated COA
Engineering / 
Admin]]</f>
        <v>0</v>
      </c>
      <c r="AG219" s="13">
        <f>Project_List[[#This Row],[Professional Service Agreement (PSA) Amount]]+Project_List[[#This Row],[Final Construction Costs]]+Project_List[[#This Row],[Estimated COA
Engineering / 
Admin]]</f>
        <v>0</v>
      </c>
      <c r="AH219" s="13">
        <f>Project_List[[#This Row],[Overall Budget]]-Project_List[[#This Row],[Total Anticipated Costs (PSA+Est+COA Est)]]-Project_List[[#This Row],[Anticipated Costs Unincombered]]</f>
        <v>600000</v>
      </c>
      <c r="AI219" s="2"/>
      <c r="AJ219" s="32"/>
      <c r="AK219" s="40" t="s">
        <v>10</v>
      </c>
      <c r="AL219" s="1">
        <v>1</v>
      </c>
    </row>
    <row r="220" spans="1:38" ht="30" x14ac:dyDescent="0.25">
      <c r="A220" s="52" t="s">
        <v>278</v>
      </c>
      <c r="B220" s="5">
        <v>560</v>
      </c>
      <c r="C220" s="5" t="str">
        <f>LOOKUP(Project_List[[#This Row],[Fund No.]],'Code Lookup'!A$9:A$53,'Code Lookup'!B$9:B$53)</f>
        <v>Stormwater Utility</v>
      </c>
      <c r="D220" s="5" t="s">
        <v>68</v>
      </c>
      <c r="E220" s="5"/>
      <c r="F220" s="5" t="s">
        <v>202</v>
      </c>
      <c r="G220" s="5" t="s">
        <v>301</v>
      </c>
      <c r="H220" s="49" t="s">
        <v>211</v>
      </c>
      <c r="I220" s="49">
        <v>750000</v>
      </c>
      <c r="J220" s="5"/>
      <c r="K220" s="53"/>
      <c r="L220" s="15"/>
      <c r="M220" s="24"/>
      <c r="N220" s="1" t="s">
        <v>278</v>
      </c>
      <c r="O220" s="1" t="s">
        <v>278</v>
      </c>
      <c r="P220" s="37"/>
      <c r="Q220" s="37"/>
      <c r="R220" s="37" t="s">
        <v>281</v>
      </c>
      <c r="S220" s="48"/>
      <c r="T220" s="49"/>
      <c r="U220" s="49"/>
      <c r="V220" s="5"/>
      <c r="W220" s="5"/>
      <c r="X220" s="5" t="s">
        <v>10</v>
      </c>
      <c r="Y220" s="50"/>
      <c r="Z220" s="50"/>
      <c r="AA220" s="50"/>
      <c r="AB220" s="78"/>
      <c r="AC220" s="34"/>
      <c r="AD220" s="34"/>
      <c r="AE220" s="34"/>
      <c r="AF220" s="34">
        <f>Project_List[[#This Row],[Professional Service Agreement (PSA) Amount]]+Project_List[[#This Row],[Engineer''s Est]]+Project_List[[#This Row],[Estimated COA
Engineering / 
Admin]]</f>
        <v>0</v>
      </c>
      <c r="AG220" s="50">
        <f>Project_List[[#This Row],[Professional Service Agreement (PSA) Amount]]+Project_List[[#This Row],[Final Construction Costs]]+Project_List[[#This Row],[Estimated COA
Engineering / 
Admin]]</f>
        <v>0</v>
      </c>
      <c r="AH220" s="50">
        <f>Project_List[[#This Row],[Overall Budget]]-Project_List[[#This Row],[Total Anticipated Costs (PSA+Est+COA Est)]]-Project_List[[#This Row],[Anticipated Costs Unincombered]]</f>
        <v>750000</v>
      </c>
      <c r="AI220" s="4"/>
      <c r="AJ220" s="54"/>
      <c r="AK220" s="51" t="s">
        <v>10</v>
      </c>
      <c r="AL220" s="5">
        <v>1</v>
      </c>
    </row>
    <row r="221" spans="1:38" x14ac:dyDescent="0.25">
      <c r="A221" s="52" t="s">
        <v>281</v>
      </c>
      <c r="B221" s="5">
        <v>560</v>
      </c>
      <c r="C221" s="5" t="str">
        <f>LOOKUP(Project_List[[#This Row],[Fund No.]],'Code Lookup'!A$9:A$53,'Code Lookup'!B$9:B$53)</f>
        <v>Stormwater Utility</v>
      </c>
      <c r="D221" s="5" t="s">
        <v>68</v>
      </c>
      <c r="E221" s="5" t="s">
        <v>532</v>
      </c>
      <c r="F221" s="5" t="s">
        <v>333</v>
      </c>
      <c r="G221" s="5" t="s">
        <v>531</v>
      </c>
      <c r="H221" s="49" t="s">
        <v>211</v>
      </c>
      <c r="I221" s="49">
        <v>50000</v>
      </c>
      <c r="J221" s="5"/>
      <c r="K221" s="53" t="s">
        <v>4</v>
      </c>
      <c r="L221" s="15">
        <v>0</v>
      </c>
      <c r="M221" s="24"/>
      <c r="N221" s="5" t="s">
        <v>281</v>
      </c>
      <c r="O221" s="5" t="s">
        <v>281</v>
      </c>
      <c r="P221" s="48"/>
      <c r="Q221" s="48"/>
      <c r="R221" s="48" t="s">
        <v>281</v>
      </c>
      <c r="S221" s="48"/>
      <c r="T221" s="49"/>
      <c r="U221" s="49"/>
      <c r="V221" s="5"/>
      <c r="W221" s="5"/>
      <c r="X221" s="5"/>
      <c r="Y221" s="50"/>
      <c r="Z221" s="50"/>
      <c r="AA221" s="50"/>
      <c r="AB221" s="78"/>
      <c r="AC221" s="34"/>
      <c r="AD221" s="34"/>
      <c r="AE221" s="34"/>
      <c r="AF221" s="34">
        <f>Project_List[[#This Row],[Professional Service Agreement (PSA) Amount]]+Project_List[[#This Row],[Engineer''s Est]]+Project_List[[#This Row],[Estimated COA
Engineering / 
Admin]]</f>
        <v>0</v>
      </c>
      <c r="AG221" s="34">
        <f>Project_List[[#This Row],[Professional Service Agreement (PSA) Amount]]+Project_List[[#This Row],[Final Construction Costs]]+Project_List[[#This Row],[Estimated COA
Engineering / 
Admin]]</f>
        <v>0</v>
      </c>
      <c r="AH221" s="34">
        <f>Project_List[[#This Row],[Overall Budget]]-Project_List[[#This Row],[Total Anticipated Costs (PSA+Est+COA Est)]]-Project_List[[#This Row],[Anticipated Costs Unincombered]]</f>
        <v>50000</v>
      </c>
      <c r="AI221" s="5"/>
      <c r="AJ221" s="54"/>
      <c r="AK221" s="51"/>
      <c r="AL221" s="5">
        <v>0</v>
      </c>
    </row>
    <row r="222" spans="1:38" ht="30" x14ac:dyDescent="0.25">
      <c r="A222" s="52" t="s">
        <v>281</v>
      </c>
      <c r="B222" s="5">
        <v>520</v>
      </c>
      <c r="C222" s="5" t="str">
        <f>LOOKUP(Project_List[[#This Row],[Fund No.]],'Code Lookup'!A$9:A$53,'Code Lookup'!B$9:B$53)</f>
        <v>Sewer Utility</v>
      </c>
      <c r="D222" s="5" t="s">
        <v>322</v>
      </c>
      <c r="E222" s="5" t="s">
        <v>510</v>
      </c>
      <c r="F222" s="5" t="s">
        <v>333</v>
      </c>
      <c r="G222" s="5" t="s">
        <v>531</v>
      </c>
      <c r="H222" s="49" t="s">
        <v>211</v>
      </c>
      <c r="I222" s="49">
        <v>75000</v>
      </c>
      <c r="J222" s="5"/>
      <c r="K222" s="53" t="s">
        <v>4</v>
      </c>
      <c r="L222" s="15">
        <v>0</v>
      </c>
      <c r="M222" s="24"/>
      <c r="N222" s="5" t="s">
        <v>281</v>
      </c>
      <c r="O222" s="5" t="s">
        <v>281</v>
      </c>
      <c r="P222" s="48"/>
      <c r="Q222" s="48"/>
      <c r="R222" s="48" t="s">
        <v>281</v>
      </c>
      <c r="S222" s="48"/>
      <c r="T222" s="49"/>
      <c r="U222" s="49"/>
      <c r="V222" s="5"/>
      <c r="W222" s="5"/>
      <c r="X222" s="5"/>
      <c r="Y222" s="50"/>
      <c r="Z222" s="50"/>
      <c r="AA222" s="50"/>
      <c r="AB222" s="78"/>
      <c r="AC222" s="34"/>
      <c r="AD222" s="34"/>
      <c r="AE222" s="34"/>
      <c r="AF222" s="34">
        <f>Project_List[[#This Row],[Professional Service Agreement (PSA) Amount]]+Project_List[[#This Row],[Engineer''s Est]]+Project_List[[#This Row],[Estimated COA
Engineering / 
Admin]]</f>
        <v>0</v>
      </c>
      <c r="AG222" s="34">
        <f>Project_List[[#This Row],[Professional Service Agreement (PSA) Amount]]+Project_List[[#This Row],[Final Construction Costs]]+Project_List[[#This Row],[Estimated COA
Engineering / 
Admin]]</f>
        <v>0</v>
      </c>
      <c r="AH222" s="34">
        <f>Project_List[[#This Row],[Overall Budget]]-Project_List[[#This Row],[Total Anticipated Costs (PSA+Est+COA Est)]]-Project_List[[#This Row],[Anticipated Costs Unincombered]]</f>
        <v>75000</v>
      </c>
      <c r="AI222" s="5"/>
      <c r="AJ222" s="54"/>
      <c r="AK222" s="51"/>
      <c r="AL222" s="5">
        <v>0</v>
      </c>
    </row>
    <row r="223" spans="1:38" ht="30" x14ac:dyDescent="0.25">
      <c r="A223" s="52" t="s">
        <v>281</v>
      </c>
      <c r="B223" s="5">
        <v>60</v>
      </c>
      <c r="C223" s="5" t="str">
        <f>LOOKUP(Project_List[[#This Row],[Fund No.]],'Code Lookup'!A$9:A$53,'Code Lookup'!B$9:B$53)</f>
        <v>Road Use Tax</v>
      </c>
      <c r="D223" s="5" t="s">
        <v>292</v>
      </c>
      <c r="E223" s="5" t="s">
        <v>216</v>
      </c>
      <c r="F223" s="5" t="s">
        <v>218</v>
      </c>
      <c r="G223" s="5" t="s">
        <v>356</v>
      </c>
      <c r="H223" s="49" t="s">
        <v>211</v>
      </c>
      <c r="I223" s="49">
        <v>150000</v>
      </c>
      <c r="J223" s="5"/>
      <c r="K223" s="53"/>
      <c r="L223" s="15"/>
      <c r="M223" s="24"/>
      <c r="N223" s="5" t="s">
        <v>281</v>
      </c>
      <c r="O223" s="5" t="s">
        <v>281</v>
      </c>
      <c r="P223" s="48"/>
      <c r="Q223" s="48"/>
      <c r="R223" s="48" t="s">
        <v>302</v>
      </c>
      <c r="S223" s="48"/>
      <c r="T223" s="49"/>
      <c r="U223" s="49"/>
      <c r="V223" s="5"/>
      <c r="W223" s="5"/>
      <c r="X223" s="5" t="s">
        <v>10</v>
      </c>
      <c r="Y223" s="50"/>
      <c r="Z223" s="50"/>
      <c r="AA223" s="50"/>
      <c r="AB223" s="78"/>
      <c r="AC223" s="34"/>
      <c r="AD223" s="34"/>
      <c r="AE223" s="34"/>
      <c r="AF223" s="34">
        <f>Project_List[[#This Row],[Professional Service Agreement (PSA) Amount]]+Project_List[[#This Row],[Engineer''s Est]]+Project_List[[#This Row],[Estimated COA
Engineering / 
Admin]]</f>
        <v>0</v>
      </c>
      <c r="AG223" s="50">
        <f>Project_List[[#This Row],[Professional Service Agreement (PSA) Amount]]+Project_List[[#This Row],[Final Construction Costs]]+Project_List[[#This Row],[Estimated COA
Engineering / 
Admin]]</f>
        <v>0</v>
      </c>
      <c r="AH223" s="50">
        <f>Project_List[[#This Row],[Overall Budget]]-Project_List[[#This Row],[Total Anticipated Costs (PSA+Est+COA Est)]]-Project_List[[#This Row],[Anticipated Costs Unincombered]]</f>
        <v>150000</v>
      </c>
      <c r="AI223" s="4"/>
      <c r="AJ223" s="54"/>
      <c r="AK223" s="51" t="s">
        <v>10</v>
      </c>
      <c r="AL223" s="5">
        <v>0</v>
      </c>
    </row>
    <row r="224" spans="1:38" ht="30" x14ac:dyDescent="0.25">
      <c r="A224" s="52" t="s">
        <v>281</v>
      </c>
      <c r="B224" s="5">
        <v>389</v>
      </c>
      <c r="C224" s="5" t="str">
        <f>LOOKUP(Project_List[[#This Row],[Fund No.]],'Code Lookup'!A$9:A$53,'Code Lookup'!B$9:B$53)</f>
        <v>2028/29 GO Bonds</v>
      </c>
      <c r="D224" s="5" t="s">
        <v>30</v>
      </c>
      <c r="E224" s="5"/>
      <c r="F224" s="5" t="s">
        <v>316</v>
      </c>
      <c r="G224" s="5" t="s">
        <v>356</v>
      </c>
      <c r="H224" s="49" t="s">
        <v>211</v>
      </c>
      <c r="I224" s="49">
        <v>1000000</v>
      </c>
      <c r="J224" s="5"/>
      <c r="K224" s="53"/>
      <c r="L224" s="15"/>
      <c r="M224" s="24"/>
      <c r="N224" s="5" t="s">
        <v>281</v>
      </c>
      <c r="O224" s="5" t="s">
        <v>281</v>
      </c>
      <c r="P224" s="48"/>
      <c r="Q224" s="48"/>
      <c r="R224" s="48" t="s">
        <v>302</v>
      </c>
      <c r="S224" s="48"/>
      <c r="T224" s="49"/>
      <c r="U224" s="49"/>
      <c r="V224" s="5"/>
      <c r="W224" s="5"/>
      <c r="X224" s="5" t="s">
        <v>10</v>
      </c>
      <c r="Y224" s="50"/>
      <c r="Z224" s="50"/>
      <c r="AA224" s="50"/>
      <c r="AB224" s="78"/>
      <c r="AC224" s="34"/>
      <c r="AD224" s="34"/>
      <c r="AE224" s="34"/>
      <c r="AF224" s="34">
        <f>Project_List[[#This Row],[Professional Service Agreement (PSA) Amount]]+Project_List[[#This Row],[Engineer''s Est]]+Project_List[[#This Row],[Estimated COA
Engineering / 
Admin]]</f>
        <v>0</v>
      </c>
      <c r="AG224" s="50">
        <f>Project_List[[#This Row],[Professional Service Agreement (PSA) Amount]]+Project_List[[#This Row],[Final Construction Costs]]+Project_List[[#This Row],[Estimated COA
Engineering / 
Admin]]</f>
        <v>0</v>
      </c>
      <c r="AH224" s="50">
        <f>Project_List[[#This Row],[Overall Budget]]-Project_List[[#This Row],[Total Anticipated Costs (PSA+Est+COA Est)]]-Project_List[[#This Row],[Anticipated Costs Unincombered]]</f>
        <v>1000000</v>
      </c>
      <c r="AI224" s="4"/>
      <c r="AJ224" s="54"/>
      <c r="AK224" s="51" t="s">
        <v>10</v>
      </c>
      <c r="AL224" s="5">
        <v>1</v>
      </c>
    </row>
    <row r="225" spans="1:38" ht="30" x14ac:dyDescent="0.25">
      <c r="A225" s="52" t="s">
        <v>281</v>
      </c>
      <c r="B225" s="5"/>
      <c r="C225" s="5" t="e">
        <f>LOOKUP(Project_List[[#This Row],[Fund No.]],'Code Lookup'!A$9:A$53,'Code Lookup'!B$9:B$53)</f>
        <v>#N/A</v>
      </c>
      <c r="D225" s="5" t="s">
        <v>292</v>
      </c>
      <c r="E225" s="5"/>
      <c r="F225" s="5" t="s">
        <v>293</v>
      </c>
      <c r="G225" s="5" t="s">
        <v>294</v>
      </c>
      <c r="H225" s="49" t="s">
        <v>211</v>
      </c>
      <c r="I225" s="49">
        <v>1250000</v>
      </c>
      <c r="J225" s="5"/>
      <c r="K225" s="53"/>
      <c r="L225" s="15"/>
      <c r="M225" s="24"/>
      <c r="N225" s="5" t="s">
        <v>281</v>
      </c>
      <c r="O225" s="5" t="s">
        <v>281</v>
      </c>
      <c r="P225" s="48"/>
      <c r="Q225" s="48"/>
      <c r="R225" s="48" t="s">
        <v>302</v>
      </c>
      <c r="S225" s="48"/>
      <c r="T225" s="49"/>
      <c r="U225" s="49"/>
      <c r="V225" s="5"/>
      <c r="W225" s="5"/>
      <c r="X225" s="5" t="s">
        <v>10</v>
      </c>
      <c r="Y225" s="50"/>
      <c r="Z225" s="50"/>
      <c r="AA225" s="50"/>
      <c r="AB225" s="78"/>
      <c r="AC225" s="34"/>
      <c r="AD225" s="34"/>
      <c r="AE225" s="34"/>
      <c r="AF225" s="34">
        <f>Project_List[[#This Row],[Professional Service Agreement (PSA) Amount]]+Project_List[[#This Row],[Engineer''s Est]]+Project_List[[#This Row],[Estimated COA
Engineering / 
Admin]]</f>
        <v>0</v>
      </c>
      <c r="AG225" s="50">
        <f>Project_List[[#This Row],[Professional Service Agreement (PSA) Amount]]+Project_List[[#This Row],[Final Construction Costs]]+Project_List[[#This Row],[Estimated COA
Engineering / 
Admin]]</f>
        <v>0</v>
      </c>
      <c r="AH225" s="50">
        <f>Project_List[[#This Row],[Overall Budget]]-Project_List[[#This Row],[Total Anticipated Costs (PSA+Est+COA Est)]]-Project_List[[#This Row],[Anticipated Costs Unincombered]]</f>
        <v>1250000</v>
      </c>
      <c r="AI225" s="4"/>
      <c r="AJ225" s="54"/>
      <c r="AK225" s="51" t="s">
        <v>10</v>
      </c>
      <c r="AL225" s="5">
        <v>1</v>
      </c>
    </row>
    <row r="226" spans="1:38" ht="135" x14ac:dyDescent="0.25">
      <c r="A226" s="52" t="s">
        <v>281</v>
      </c>
      <c r="B226" s="5">
        <v>389</v>
      </c>
      <c r="C226" s="5" t="str">
        <f>LOOKUP(Project_List[[#This Row],[Fund No.]],'Code Lookup'!A$9:A$53,'Code Lookup'!B$9:B$53)</f>
        <v>2028/29 GO Bonds</v>
      </c>
      <c r="D226" s="5" t="s">
        <v>30</v>
      </c>
      <c r="E226" s="5" t="s">
        <v>512</v>
      </c>
      <c r="F226" s="5" t="s">
        <v>63</v>
      </c>
      <c r="G226" s="5" t="s">
        <v>282</v>
      </c>
      <c r="H226" s="49" t="s">
        <v>211</v>
      </c>
      <c r="I226" s="49">
        <v>3000000</v>
      </c>
      <c r="J226" s="5"/>
      <c r="K226" s="53"/>
      <c r="L226" s="15"/>
      <c r="M226" s="24"/>
      <c r="N226" s="5" t="s">
        <v>281</v>
      </c>
      <c r="O226" s="5" t="s">
        <v>281</v>
      </c>
      <c r="P226" s="48"/>
      <c r="Q226" s="48"/>
      <c r="R226" s="48" t="s">
        <v>302</v>
      </c>
      <c r="S226" s="48"/>
      <c r="T226" s="49"/>
      <c r="U226" s="49"/>
      <c r="V226" s="5"/>
      <c r="W226" s="5"/>
      <c r="X226" s="5" t="s">
        <v>10</v>
      </c>
      <c r="Y226" s="50"/>
      <c r="Z226" s="50"/>
      <c r="AA226" s="50"/>
      <c r="AB226" s="78"/>
      <c r="AC226" s="34"/>
      <c r="AD226" s="34"/>
      <c r="AE226" s="34"/>
      <c r="AF226" s="34">
        <f>Project_List[[#This Row],[Professional Service Agreement (PSA) Amount]]+Project_List[[#This Row],[Engineer''s Est]]+Project_List[[#This Row],[Estimated COA
Engineering / 
Admin]]</f>
        <v>0</v>
      </c>
      <c r="AG226" s="50">
        <f>Project_List[[#This Row],[Professional Service Agreement (PSA) Amount]]+Project_List[[#This Row],[Final Construction Costs]]+Project_List[[#This Row],[Estimated COA
Engineering / 
Admin]]</f>
        <v>0</v>
      </c>
      <c r="AH226" s="50">
        <f>Project_List[[#This Row],[Overall Budget]]-Project_List[[#This Row],[Total Anticipated Costs (PSA+Est+COA Est)]]-Project_List[[#This Row],[Anticipated Costs Unincombered]]</f>
        <v>3000000</v>
      </c>
      <c r="AI226" s="4"/>
      <c r="AJ226" s="54"/>
      <c r="AK226" s="51" t="s">
        <v>10</v>
      </c>
      <c r="AL226" s="5">
        <v>1</v>
      </c>
    </row>
    <row r="227" spans="1:38" ht="30" x14ac:dyDescent="0.25">
      <c r="A227" s="52" t="s">
        <v>281</v>
      </c>
      <c r="B227" s="5">
        <v>389</v>
      </c>
      <c r="C227" s="5" t="str">
        <f>LOOKUP(Project_List[[#This Row],[Fund No.]],'Code Lookup'!A$9:A$53,'Code Lookup'!B$9:B$53)</f>
        <v>2028/29 GO Bonds</v>
      </c>
      <c r="D227" s="5" t="s">
        <v>30</v>
      </c>
      <c r="E227" s="5"/>
      <c r="F227" s="5" t="s">
        <v>60</v>
      </c>
      <c r="G227" s="5" t="s">
        <v>285</v>
      </c>
      <c r="H227" s="49" t="s">
        <v>211</v>
      </c>
      <c r="I227" s="49">
        <v>3600000</v>
      </c>
      <c r="J227" s="5"/>
      <c r="K227" s="53"/>
      <c r="L227" s="15"/>
      <c r="M227" s="24"/>
      <c r="N227" s="5" t="s">
        <v>281</v>
      </c>
      <c r="O227" s="5" t="s">
        <v>281</v>
      </c>
      <c r="P227" s="48"/>
      <c r="Q227" s="48"/>
      <c r="R227" s="48" t="s">
        <v>278</v>
      </c>
      <c r="S227" s="48"/>
      <c r="T227" s="49"/>
      <c r="U227" s="49"/>
      <c r="V227" s="5"/>
      <c r="W227" s="5"/>
      <c r="X227" s="5" t="s">
        <v>10</v>
      </c>
      <c r="Y227" s="50"/>
      <c r="Z227" s="50"/>
      <c r="AA227" s="50"/>
      <c r="AB227" s="78"/>
      <c r="AC227" s="34"/>
      <c r="AD227" s="34"/>
      <c r="AE227" s="34"/>
      <c r="AF227" s="34">
        <f>Project_List[[#This Row],[Professional Service Agreement (PSA) Amount]]+Project_List[[#This Row],[Engineer''s Est]]+Project_List[[#This Row],[Estimated COA
Engineering / 
Admin]]</f>
        <v>0</v>
      </c>
      <c r="AG227" s="50">
        <f>Project_List[[#This Row],[Professional Service Agreement (PSA) Amount]]+Project_List[[#This Row],[Final Construction Costs]]+Project_List[[#This Row],[Estimated COA
Engineering / 
Admin]]</f>
        <v>0</v>
      </c>
      <c r="AH227" s="50">
        <f>Project_List[[#This Row],[Overall Budget]]-Project_List[[#This Row],[Total Anticipated Costs (PSA+Est+COA Est)]]-Project_List[[#This Row],[Anticipated Costs Unincombered]]</f>
        <v>3600000</v>
      </c>
      <c r="AI227" s="4"/>
      <c r="AJ227" s="54"/>
      <c r="AK227" s="51" t="s">
        <v>10</v>
      </c>
      <c r="AL227" s="5">
        <v>1</v>
      </c>
    </row>
    <row r="228" spans="1:38" ht="30" x14ac:dyDescent="0.25">
      <c r="A228" s="52" t="s">
        <v>281</v>
      </c>
      <c r="B228" s="5">
        <v>389</v>
      </c>
      <c r="C228" s="5" t="str">
        <f>LOOKUP(Project_List[[#This Row],[Fund No.]],'Code Lookup'!A$9:A$53,'Code Lookup'!B$9:B$53)</f>
        <v>2028/29 GO Bonds</v>
      </c>
      <c r="D228" s="5" t="s">
        <v>30</v>
      </c>
      <c r="E228" s="5"/>
      <c r="F228" s="5" t="s">
        <v>319</v>
      </c>
      <c r="G228" s="5" t="s">
        <v>291</v>
      </c>
      <c r="H228" s="49" t="s">
        <v>211</v>
      </c>
      <c r="I228" s="49">
        <v>2400000</v>
      </c>
      <c r="J228" s="5"/>
      <c r="K228" s="53"/>
      <c r="L228" s="15"/>
      <c r="M228" s="24"/>
      <c r="N228" s="5" t="s">
        <v>281</v>
      </c>
      <c r="O228" s="5" t="s">
        <v>281</v>
      </c>
      <c r="P228" s="48"/>
      <c r="Q228" s="48"/>
      <c r="R228" s="48" t="s">
        <v>302</v>
      </c>
      <c r="S228" s="48"/>
      <c r="T228" s="49"/>
      <c r="U228" s="49"/>
      <c r="V228" s="5"/>
      <c r="W228" s="5"/>
      <c r="X228" s="5" t="s">
        <v>10</v>
      </c>
      <c r="Y228" s="50"/>
      <c r="Z228" s="50"/>
      <c r="AA228" s="50"/>
      <c r="AB228" s="78"/>
      <c r="AC228" s="34"/>
      <c r="AD228" s="34"/>
      <c r="AE228" s="34"/>
      <c r="AF228" s="34">
        <f>Project_List[[#This Row],[Professional Service Agreement (PSA) Amount]]+Project_List[[#This Row],[Engineer''s Est]]+Project_List[[#This Row],[Estimated COA
Engineering / 
Admin]]</f>
        <v>0</v>
      </c>
      <c r="AG228" s="50">
        <f>Project_List[[#This Row],[Professional Service Agreement (PSA) Amount]]+Project_List[[#This Row],[Final Construction Costs]]+Project_List[[#This Row],[Estimated COA
Engineering / 
Admin]]</f>
        <v>0</v>
      </c>
      <c r="AH228" s="50">
        <f>Project_List[[#This Row],[Overall Budget]]-Project_List[[#This Row],[Total Anticipated Costs (PSA+Est+COA Est)]]-Project_List[[#This Row],[Anticipated Costs Unincombered]]</f>
        <v>2400000</v>
      </c>
      <c r="AI228" s="4"/>
      <c r="AJ228" s="54"/>
      <c r="AK228" s="51" t="s">
        <v>10</v>
      </c>
      <c r="AL228" s="5">
        <v>1</v>
      </c>
    </row>
    <row r="229" spans="1:38" ht="30" x14ac:dyDescent="0.25">
      <c r="A229" s="52" t="s">
        <v>281</v>
      </c>
      <c r="B229" s="5">
        <v>510</v>
      </c>
      <c r="C229" s="5" t="str">
        <f>LOOKUP(Project_List[[#This Row],[Fund No.]],'Code Lookup'!A$9:A$53,'Code Lookup'!B$9:B$53)</f>
        <v>Water Utility</v>
      </c>
      <c r="D229" s="5" t="s">
        <v>64</v>
      </c>
      <c r="E229" s="5" t="s">
        <v>509</v>
      </c>
      <c r="F229" s="5" t="s">
        <v>90</v>
      </c>
      <c r="G229" s="5" t="s">
        <v>289</v>
      </c>
      <c r="H229" s="49" t="s">
        <v>211</v>
      </c>
      <c r="I229" s="49">
        <v>75000</v>
      </c>
      <c r="J229" s="5"/>
      <c r="K229" s="53"/>
      <c r="L229" s="15"/>
      <c r="M229" s="24"/>
      <c r="N229" s="5" t="s">
        <v>281</v>
      </c>
      <c r="O229" s="5" t="s">
        <v>281</v>
      </c>
      <c r="P229" s="48"/>
      <c r="Q229" s="48"/>
      <c r="R229" s="48" t="s">
        <v>302</v>
      </c>
      <c r="S229" s="48"/>
      <c r="T229" s="49"/>
      <c r="U229" s="49"/>
      <c r="V229" s="5"/>
      <c r="W229" s="5"/>
      <c r="X229" s="5"/>
      <c r="Y229" s="50"/>
      <c r="Z229" s="50"/>
      <c r="AA229" s="50"/>
      <c r="AB229" s="78"/>
      <c r="AC229" s="34"/>
      <c r="AD229" s="34"/>
      <c r="AE229" s="34"/>
      <c r="AF229" s="34">
        <f>Project_List[[#This Row],[Professional Service Agreement (PSA) Amount]]+Project_List[[#This Row],[Engineer''s Est]]+Project_List[[#This Row],[Estimated COA
Engineering / 
Admin]]</f>
        <v>0</v>
      </c>
      <c r="AG229" s="34">
        <f>Project_List[[#This Row],[Professional Service Agreement (PSA) Amount]]+Project_List[[#This Row],[Final Construction Costs]]+Project_List[[#This Row],[Estimated COA
Engineering / 
Admin]]</f>
        <v>0</v>
      </c>
      <c r="AH229" s="50">
        <f>Project_List[[#This Row],[Overall Budget]]-Project_List[[#This Row],[Total Anticipated Costs (PSA+Est+COA Est)]]-Project_List[[#This Row],[Anticipated Costs Unincombered]]</f>
        <v>75000</v>
      </c>
      <c r="AI229" s="5"/>
      <c r="AJ229" s="54"/>
      <c r="AK229" s="51"/>
      <c r="AL229" s="5"/>
    </row>
    <row r="230" spans="1:38" ht="30" x14ac:dyDescent="0.25">
      <c r="A230" s="52" t="s">
        <v>281</v>
      </c>
      <c r="B230" s="5">
        <v>389</v>
      </c>
      <c r="C230" s="5" t="str">
        <f>LOOKUP(Project_List[[#This Row],[Fund No.]],'Code Lookup'!A$9:A$53,'Code Lookup'!B$9:B$53)</f>
        <v>2028/29 GO Bonds</v>
      </c>
      <c r="D230" s="5" t="s">
        <v>30</v>
      </c>
      <c r="E230" s="5" t="s">
        <v>512</v>
      </c>
      <c r="F230" s="5" t="s">
        <v>61</v>
      </c>
      <c r="G230" s="5" t="s">
        <v>289</v>
      </c>
      <c r="H230" s="49" t="s">
        <v>211</v>
      </c>
      <c r="I230" s="49">
        <v>800000</v>
      </c>
      <c r="J230" s="5"/>
      <c r="K230" s="53"/>
      <c r="L230" s="15"/>
      <c r="M230" s="24"/>
      <c r="N230" s="5" t="s">
        <v>281</v>
      </c>
      <c r="O230" s="5" t="s">
        <v>281</v>
      </c>
      <c r="P230" s="48"/>
      <c r="Q230" s="48"/>
      <c r="R230" s="48" t="s">
        <v>302</v>
      </c>
      <c r="S230" s="48"/>
      <c r="T230" s="49"/>
      <c r="U230" s="49"/>
      <c r="V230" s="5"/>
      <c r="W230" s="5" t="s">
        <v>13</v>
      </c>
      <c r="X230" s="5" t="s">
        <v>13</v>
      </c>
      <c r="Y230" s="50"/>
      <c r="Z230" s="50"/>
      <c r="AA230" s="50"/>
      <c r="AB230" s="78"/>
      <c r="AC230" s="34"/>
      <c r="AD230" s="34">
        <v>300000</v>
      </c>
      <c r="AE230" s="34"/>
      <c r="AF230" s="34">
        <f>Project_List[[#This Row],[Professional Service Agreement (PSA) Amount]]+Project_List[[#This Row],[Engineer''s Est]]+Project_List[[#This Row],[Estimated COA
Engineering / 
Admin]]</f>
        <v>300000</v>
      </c>
      <c r="AG230" s="50">
        <f>Project_List[[#This Row],[Professional Service Agreement (PSA) Amount]]+Project_List[[#This Row],[Final Construction Costs]]+Project_List[[#This Row],[Estimated COA
Engineering / 
Admin]]</f>
        <v>300000</v>
      </c>
      <c r="AH230" s="50">
        <f>Project_List[[#This Row],[Overall Budget]]-Project_List[[#This Row],[Total Anticipated Costs (PSA+Est+COA Est)]]-Project_List[[#This Row],[Anticipated Costs Unincombered]]</f>
        <v>500000</v>
      </c>
      <c r="AI230" s="4"/>
      <c r="AJ230" s="54"/>
      <c r="AK230" s="51" t="s">
        <v>10</v>
      </c>
      <c r="AL230" s="5">
        <v>1</v>
      </c>
    </row>
    <row r="231" spans="1:38" ht="30" x14ac:dyDescent="0.25">
      <c r="A231" s="52" t="s">
        <v>281</v>
      </c>
      <c r="B231" s="5">
        <v>320</v>
      </c>
      <c r="C231" s="5" t="str">
        <f>LOOKUP(Project_List[[#This Row],[Fund No.]],'Code Lookup'!A$9:A$53,'Code Lookup'!B$9:B$53)</f>
        <v>Street Construction</v>
      </c>
      <c r="D231" s="5" t="s">
        <v>30</v>
      </c>
      <c r="E231" s="5" t="s">
        <v>507</v>
      </c>
      <c r="F231" s="5" t="s">
        <v>61</v>
      </c>
      <c r="G231" s="5" t="s">
        <v>289</v>
      </c>
      <c r="H231" s="49" t="s">
        <v>211</v>
      </c>
      <c r="I231" s="49">
        <v>1760000</v>
      </c>
      <c r="J231" s="5"/>
      <c r="K231" s="53"/>
      <c r="L231" s="15"/>
      <c r="M231" s="24"/>
      <c r="N231" s="5" t="s">
        <v>281</v>
      </c>
      <c r="O231" s="5" t="s">
        <v>281</v>
      </c>
      <c r="P231" s="48"/>
      <c r="Q231" s="48"/>
      <c r="R231" s="48" t="s">
        <v>302</v>
      </c>
      <c r="S231" s="48"/>
      <c r="T231" s="49"/>
      <c r="U231" s="49"/>
      <c r="V231" s="5"/>
      <c r="W231" s="5"/>
      <c r="X231" s="5"/>
      <c r="Y231" s="50"/>
      <c r="Z231" s="50"/>
      <c r="AA231" s="50"/>
      <c r="AB231" s="78"/>
      <c r="AC231" s="34"/>
      <c r="AD231" s="34"/>
      <c r="AE231" s="34"/>
      <c r="AF231" s="34">
        <f>Project_List[[#This Row],[Professional Service Agreement (PSA) Amount]]+Project_List[[#This Row],[Engineer''s Est]]+Project_List[[#This Row],[Estimated COA
Engineering / 
Admin]]</f>
        <v>0</v>
      </c>
      <c r="AG231" s="34">
        <f>Project_List[[#This Row],[Professional Service Agreement (PSA) Amount]]+Project_List[[#This Row],[Final Construction Costs]]+Project_List[[#This Row],[Estimated COA
Engineering / 
Admin]]</f>
        <v>0</v>
      </c>
      <c r="AH231" s="34">
        <f>Project_List[[#This Row],[Overall Budget]]-Project_List[[#This Row],[Total Anticipated Costs (PSA+Est+COA Est)]]-Project_List[[#This Row],[Anticipated Costs Unincombered]]</f>
        <v>1760000</v>
      </c>
      <c r="AI231" s="5"/>
      <c r="AJ231" s="54"/>
      <c r="AK231" s="51"/>
      <c r="AL231" s="5"/>
    </row>
    <row r="232" spans="1:38" ht="30" x14ac:dyDescent="0.25">
      <c r="A232" s="52" t="s">
        <v>281</v>
      </c>
      <c r="B232" s="5">
        <v>60</v>
      </c>
      <c r="C232" s="5" t="str">
        <f>LOOKUP(Project_List[[#This Row],[Fund No.]],'Code Lookup'!A$9:A$53,'Code Lookup'!B$9:B$53)</f>
        <v>Road Use Tax</v>
      </c>
      <c r="D232" s="5" t="s">
        <v>30</v>
      </c>
      <c r="E232" s="5" t="s">
        <v>530</v>
      </c>
      <c r="F232" s="5" t="s">
        <v>333</v>
      </c>
      <c r="G232" s="5" t="s">
        <v>531</v>
      </c>
      <c r="H232" s="49" t="s">
        <v>211</v>
      </c>
      <c r="I232" s="49">
        <v>125000</v>
      </c>
      <c r="J232" s="5"/>
      <c r="K232" s="53" t="s">
        <v>4</v>
      </c>
      <c r="L232" s="15">
        <v>0</v>
      </c>
      <c r="M232" s="24"/>
      <c r="N232" s="5" t="s">
        <v>281</v>
      </c>
      <c r="O232" s="5" t="s">
        <v>281</v>
      </c>
      <c r="P232" s="48"/>
      <c r="Q232" s="48"/>
      <c r="R232" s="48" t="s">
        <v>302</v>
      </c>
      <c r="S232" s="48"/>
      <c r="T232" s="49"/>
      <c r="U232" s="49"/>
      <c r="V232" s="5"/>
      <c r="W232" s="5"/>
      <c r="X232" s="5"/>
      <c r="Y232" s="50"/>
      <c r="Z232" s="50"/>
      <c r="AA232" s="50"/>
      <c r="AB232" s="78"/>
      <c r="AC232" s="34"/>
      <c r="AD232" s="34"/>
      <c r="AE232" s="34"/>
      <c r="AF232" s="34">
        <f>Project_List[[#This Row],[Professional Service Agreement (PSA) Amount]]+Project_List[[#This Row],[Engineer''s Est]]+Project_List[[#This Row],[Estimated COA
Engineering / 
Admin]]</f>
        <v>0</v>
      </c>
      <c r="AG232" s="34">
        <f>Project_List[[#This Row],[Professional Service Agreement (PSA) Amount]]+Project_List[[#This Row],[Final Construction Costs]]+Project_List[[#This Row],[Estimated COA
Engineering / 
Admin]]</f>
        <v>0</v>
      </c>
      <c r="AH232" s="34">
        <f>Project_List[[#This Row],[Overall Budget]]-Project_List[[#This Row],[Total Anticipated Costs (PSA+Est+COA Est)]]-Project_List[[#This Row],[Anticipated Costs Unincombered]]</f>
        <v>125000</v>
      </c>
      <c r="AI232" s="5"/>
      <c r="AJ232" s="54"/>
      <c r="AK232" s="51"/>
      <c r="AL232" s="5">
        <v>0</v>
      </c>
    </row>
    <row r="233" spans="1:38" ht="30" x14ac:dyDescent="0.25">
      <c r="A233" s="52" t="s">
        <v>281</v>
      </c>
      <c r="B233" s="5">
        <v>510</v>
      </c>
      <c r="C233" s="5" t="str">
        <f>LOOKUP(Project_List[[#This Row],[Fund No.]],'Code Lookup'!A$9:A$53,'Code Lookup'!B$9:B$53)</f>
        <v>Water Utility</v>
      </c>
      <c r="D233" s="5" t="s">
        <v>64</v>
      </c>
      <c r="E233" s="5" t="s">
        <v>509</v>
      </c>
      <c r="F233" s="5" t="s">
        <v>333</v>
      </c>
      <c r="G233" s="5" t="s">
        <v>531</v>
      </c>
      <c r="H233" s="49" t="s">
        <v>211</v>
      </c>
      <c r="I233" s="49">
        <v>75000</v>
      </c>
      <c r="J233" s="5"/>
      <c r="K233" s="53" t="s">
        <v>4</v>
      </c>
      <c r="L233" s="15">
        <v>0</v>
      </c>
      <c r="M233" s="24"/>
      <c r="N233" s="5" t="s">
        <v>281</v>
      </c>
      <c r="O233" s="5" t="s">
        <v>281</v>
      </c>
      <c r="P233" s="48"/>
      <c r="Q233" s="48"/>
      <c r="R233" s="48" t="s">
        <v>302</v>
      </c>
      <c r="S233" s="48"/>
      <c r="T233" s="49"/>
      <c r="U233" s="49"/>
      <c r="V233" s="5"/>
      <c r="W233" s="5"/>
      <c r="X233" s="5"/>
      <c r="Y233" s="50"/>
      <c r="Z233" s="50"/>
      <c r="AA233" s="50"/>
      <c r="AB233" s="78"/>
      <c r="AC233" s="34"/>
      <c r="AD233" s="34"/>
      <c r="AE233" s="34"/>
      <c r="AF233" s="34">
        <f>Project_List[[#This Row],[Professional Service Agreement (PSA) Amount]]+Project_List[[#This Row],[Engineer''s Est]]+Project_List[[#This Row],[Estimated COA
Engineering / 
Admin]]</f>
        <v>0</v>
      </c>
      <c r="AG233" s="34">
        <f>Project_List[[#This Row],[Professional Service Agreement (PSA) Amount]]+Project_List[[#This Row],[Final Construction Costs]]+Project_List[[#This Row],[Estimated COA
Engineering / 
Admin]]</f>
        <v>0</v>
      </c>
      <c r="AH233" s="34">
        <f>Project_List[[#This Row],[Overall Budget]]-Project_List[[#This Row],[Total Anticipated Costs (PSA+Est+COA Est)]]-Project_List[[#This Row],[Anticipated Costs Unincombered]]</f>
        <v>75000</v>
      </c>
      <c r="AI233" s="5"/>
      <c r="AJ233" s="54"/>
      <c r="AK233" s="51"/>
      <c r="AL233" s="5">
        <v>0</v>
      </c>
    </row>
    <row r="234" spans="1:38" ht="45" x14ac:dyDescent="0.25">
      <c r="A234" s="52" t="s">
        <v>281</v>
      </c>
      <c r="B234" s="5">
        <v>560</v>
      </c>
      <c r="C234" s="5" t="str">
        <f>LOOKUP(Project_List[[#This Row],[Fund No.]],'Code Lookup'!A$9:A$53,'Code Lookup'!B$9:B$53)</f>
        <v>Stormwater Utility</v>
      </c>
      <c r="D234" s="5" t="s">
        <v>68</v>
      </c>
      <c r="E234" s="5"/>
      <c r="F234" s="5" t="s">
        <v>202</v>
      </c>
      <c r="G234" s="5" t="s">
        <v>398</v>
      </c>
      <c r="H234" s="49" t="s">
        <v>211</v>
      </c>
      <c r="I234" s="49">
        <v>1400000</v>
      </c>
      <c r="J234" s="5"/>
      <c r="K234" s="53"/>
      <c r="L234" s="15"/>
      <c r="M234" s="24"/>
      <c r="N234" s="5" t="s">
        <v>281</v>
      </c>
      <c r="O234" s="5" t="s">
        <v>281</v>
      </c>
      <c r="P234" s="48"/>
      <c r="Q234" s="48"/>
      <c r="R234" s="48" t="s">
        <v>302</v>
      </c>
      <c r="S234" s="48"/>
      <c r="T234" s="49"/>
      <c r="U234" s="49"/>
      <c r="V234" s="5"/>
      <c r="W234" s="5"/>
      <c r="X234" s="5" t="s">
        <v>10</v>
      </c>
      <c r="Y234" s="50"/>
      <c r="Z234" s="50"/>
      <c r="AA234" s="50"/>
      <c r="AB234" s="78"/>
      <c r="AC234" s="34"/>
      <c r="AD234" s="34"/>
      <c r="AE234" s="34"/>
      <c r="AF234" s="34">
        <f>Project_List[[#This Row],[Professional Service Agreement (PSA) Amount]]+Project_List[[#This Row],[Engineer''s Est]]+Project_List[[#This Row],[Estimated COA
Engineering / 
Admin]]</f>
        <v>0</v>
      </c>
      <c r="AG234" s="50">
        <f>Project_List[[#This Row],[Professional Service Agreement (PSA) Amount]]+Project_List[[#This Row],[Final Construction Costs]]+Project_List[[#This Row],[Estimated COA
Engineering / 
Admin]]</f>
        <v>0</v>
      </c>
      <c r="AH234" s="50">
        <f>Project_List[[#This Row],[Overall Budget]]-Project_List[[#This Row],[Total Anticipated Costs (PSA+Est+COA Est)]]-Project_List[[#This Row],[Anticipated Costs Unincombered]]</f>
        <v>1400000</v>
      </c>
      <c r="AI234" s="4"/>
      <c r="AJ234" s="54"/>
      <c r="AK234" s="51" t="s">
        <v>10</v>
      </c>
      <c r="AL234" s="5">
        <v>1</v>
      </c>
    </row>
    <row r="235" spans="1:38" ht="30" x14ac:dyDescent="0.25">
      <c r="A235" s="52" t="s">
        <v>302</v>
      </c>
      <c r="B235" s="5">
        <v>388</v>
      </c>
      <c r="C235" s="5" t="str">
        <f>LOOKUP(Project_List[[#This Row],[Fund No.]],'Code Lookup'!A$9:A$53,'Code Lookup'!B$9:B$53)</f>
        <v>2027/28 GO Bonds</v>
      </c>
      <c r="D235" s="5" t="s">
        <v>30</v>
      </c>
      <c r="E235" s="5" t="s">
        <v>511</v>
      </c>
      <c r="F235" s="5" t="s">
        <v>61</v>
      </c>
      <c r="G235" s="5" t="s">
        <v>538</v>
      </c>
      <c r="H235" s="49" t="s">
        <v>211</v>
      </c>
      <c r="I235" s="49">
        <f>2400000</f>
        <v>2400000</v>
      </c>
      <c r="J235" s="5"/>
      <c r="K235" s="53"/>
      <c r="L235" s="15"/>
      <c r="M235" s="24"/>
      <c r="N235" s="5" t="s">
        <v>302</v>
      </c>
      <c r="O235" s="5" t="s">
        <v>302</v>
      </c>
      <c r="P235" s="48"/>
      <c r="Q235" s="48"/>
      <c r="R235" s="48" t="s">
        <v>341</v>
      </c>
      <c r="S235" s="48"/>
      <c r="T235" s="49"/>
      <c r="U235" s="49"/>
      <c r="V235" s="5"/>
      <c r="W235" s="5" t="s">
        <v>13</v>
      </c>
      <c r="X235" s="5" t="s">
        <v>13</v>
      </c>
      <c r="Y235" s="50"/>
      <c r="Z235" s="50"/>
      <c r="AA235" s="50"/>
      <c r="AB235" s="78"/>
      <c r="AC235" s="34"/>
      <c r="AD235" s="34"/>
      <c r="AE235" s="34"/>
      <c r="AF235" s="34">
        <f>Project_List[[#This Row],[Professional Service Agreement (PSA) Amount]]+Project_List[[#This Row],[Engineer''s Est]]+Project_List[[#This Row],[Estimated COA
Engineering / 
Admin]]</f>
        <v>0</v>
      </c>
      <c r="AG235" s="50">
        <f>Project_List[[#This Row],[Professional Service Agreement (PSA) Amount]]+Project_List[[#This Row],[Final Construction Costs]]+Project_List[[#This Row],[Estimated COA
Engineering / 
Admin]]</f>
        <v>0</v>
      </c>
      <c r="AH235" s="50">
        <f>Project_List[[#This Row],[Overall Budget]]-Project_List[[#This Row],[Total Anticipated Costs (PSA+Est+COA Est)]]-Project_List[[#This Row],[Anticipated Costs Unincombered]]</f>
        <v>2400000</v>
      </c>
      <c r="AI235" s="4"/>
      <c r="AJ235" s="54"/>
      <c r="AK235" s="51" t="s">
        <v>13</v>
      </c>
      <c r="AL235" s="5">
        <v>1</v>
      </c>
    </row>
    <row r="236" spans="1:38" ht="30" x14ac:dyDescent="0.25">
      <c r="A236" s="52" t="s">
        <v>302</v>
      </c>
      <c r="B236" s="5">
        <v>320</v>
      </c>
      <c r="C236" s="5" t="str">
        <f>LOOKUP(Project_List[[#This Row],[Fund No.]],'Code Lookup'!A$9:A$53,'Code Lookup'!B$9:B$53)</f>
        <v>Street Construction</v>
      </c>
      <c r="D236" s="5" t="s">
        <v>30</v>
      </c>
      <c r="E236" s="5" t="s">
        <v>507</v>
      </c>
      <c r="F236" s="5" t="s">
        <v>61</v>
      </c>
      <c r="G236" s="5" t="s">
        <v>288</v>
      </c>
      <c r="H236" s="49" t="s">
        <v>211</v>
      </c>
      <c r="I236" s="49">
        <v>1835000</v>
      </c>
      <c r="J236" s="5"/>
      <c r="K236" s="53"/>
      <c r="L236" s="15"/>
      <c r="M236" s="24"/>
      <c r="N236" s="5" t="s">
        <v>302</v>
      </c>
      <c r="O236" s="5" t="s">
        <v>302</v>
      </c>
      <c r="P236" s="48"/>
      <c r="Q236" s="48"/>
      <c r="R236" s="48" t="s">
        <v>341</v>
      </c>
      <c r="S236" s="48"/>
      <c r="T236" s="49"/>
      <c r="U236" s="49"/>
      <c r="V236" s="5"/>
      <c r="W236" s="5"/>
      <c r="X236" s="5"/>
      <c r="Y236" s="50"/>
      <c r="Z236" s="50"/>
      <c r="AA236" s="50"/>
      <c r="AB236" s="78"/>
      <c r="AC236" s="34"/>
      <c r="AD236" s="34"/>
      <c r="AE236" s="34"/>
      <c r="AF236" s="34">
        <f>Project_List[[#This Row],[Professional Service Agreement (PSA) Amount]]+Project_List[[#This Row],[Engineer''s Est]]+Project_List[[#This Row],[Estimated COA
Engineering / 
Admin]]</f>
        <v>0</v>
      </c>
      <c r="AG236" s="34">
        <f>Project_List[[#This Row],[Professional Service Agreement (PSA) Amount]]+Project_List[[#This Row],[Final Construction Costs]]+Project_List[[#This Row],[Estimated COA
Engineering / 
Admin]]</f>
        <v>0</v>
      </c>
      <c r="AH236" s="34">
        <f>Project_List[[#This Row],[Overall Budget]]-Project_List[[#This Row],[Total Anticipated Costs (PSA+Est+COA Est)]]-Project_List[[#This Row],[Anticipated Costs Unincombered]]</f>
        <v>1835000</v>
      </c>
      <c r="AI236" s="5"/>
      <c r="AJ236" s="54"/>
      <c r="AK236" s="51"/>
      <c r="AL236" s="5">
        <f>COUNTA(_xlfn.UNIQUE(Project_List[[#This Row],[Project Name]]))</f>
        <v>1</v>
      </c>
    </row>
    <row r="237" spans="1:38" x14ac:dyDescent="0.25">
      <c r="A237" s="52" t="s">
        <v>302</v>
      </c>
      <c r="B237" s="5">
        <v>560</v>
      </c>
      <c r="C237" s="5" t="str">
        <f>LOOKUP(Project_List[[#This Row],[Fund No.]],'Code Lookup'!A$9:A$53,'Code Lookup'!B$9:B$53)</f>
        <v>Stormwater Utility</v>
      </c>
      <c r="D237" s="5" t="s">
        <v>68</v>
      </c>
      <c r="E237" s="5" t="s">
        <v>532</v>
      </c>
      <c r="F237" s="5" t="s">
        <v>333</v>
      </c>
      <c r="G237" s="5" t="s">
        <v>531</v>
      </c>
      <c r="H237" s="49" t="s">
        <v>211</v>
      </c>
      <c r="I237" s="49">
        <v>50000</v>
      </c>
      <c r="J237" s="5"/>
      <c r="K237" s="53" t="s">
        <v>4</v>
      </c>
      <c r="L237" s="15">
        <v>0</v>
      </c>
      <c r="M237" s="24"/>
      <c r="N237" s="5" t="s">
        <v>302</v>
      </c>
      <c r="O237" s="5" t="s">
        <v>302</v>
      </c>
      <c r="P237" s="48"/>
      <c r="Q237" s="48"/>
      <c r="R237" s="48" t="s">
        <v>341</v>
      </c>
      <c r="S237" s="48"/>
      <c r="T237" s="49"/>
      <c r="U237" s="49"/>
      <c r="V237" s="5"/>
      <c r="W237" s="5"/>
      <c r="X237" s="5"/>
      <c r="Y237" s="50"/>
      <c r="Z237" s="50"/>
      <c r="AA237" s="50"/>
      <c r="AB237" s="78"/>
      <c r="AC237" s="34"/>
      <c r="AD237" s="34"/>
      <c r="AE237" s="34"/>
      <c r="AF237" s="34">
        <f>Project_List[[#This Row],[Professional Service Agreement (PSA) Amount]]+Project_List[[#This Row],[Engineer''s Est]]+Project_List[[#This Row],[Estimated COA
Engineering / 
Admin]]</f>
        <v>0</v>
      </c>
      <c r="AG237" s="34">
        <f>Project_List[[#This Row],[Professional Service Agreement (PSA) Amount]]+Project_List[[#This Row],[Final Construction Costs]]+Project_List[[#This Row],[Estimated COA
Engineering / 
Admin]]</f>
        <v>0</v>
      </c>
      <c r="AH237" s="34">
        <f>Project_List[[#This Row],[Overall Budget]]-Project_List[[#This Row],[Total Anticipated Costs (PSA+Est+COA Est)]]-Project_List[[#This Row],[Anticipated Costs Unincombered]]</f>
        <v>50000</v>
      </c>
      <c r="AI237" s="5"/>
      <c r="AJ237" s="54"/>
      <c r="AK237" s="51"/>
      <c r="AL237" s="5">
        <v>0</v>
      </c>
    </row>
    <row r="238" spans="1:38" ht="30" x14ac:dyDescent="0.25">
      <c r="A238" s="52" t="s">
        <v>302</v>
      </c>
      <c r="B238" s="5">
        <v>520</v>
      </c>
      <c r="C238" s="5" t="str">
        <f>LOOKUP(Project_List[[#This Row],[Fund No.]],'Code Lookup'!A$9:A$53,'Code Lookup'!B$9:B$53)</f>
        <v>Sewer Utility</v>
      </c>
      <c r="D238" s="5" t="s">
        <v>322</v>
      </c>
      <c r="E238" s="5" t="s">
        <v>510</v>
      </c>
      <c r="F238" s="5" t="s">
        <v>333</v>
      </c>
      <c r="G238" s="5" t="s">
        <v>531</v>
      </c>
      <c r="H238" s="49" t="s">
        <v>211</v>
      </c>
      <c r="I238" s="49">
        <v>75000</v>
      </c>
      <c r="J238" s="5"/>
      <c r="K238" s="53" t="s">
        <v>4</v>
      </c>
      <c r="L238" s="15">
        <v>0</v>
      </c>
      <c r="M238" s="24"/>
      <c r="N238" s="5" t="s">
        <v>302</v>
      </c>
      <c r="O238" s="5" t="s">
        <v>302</v>
      </c>
      <c r="P238" s="48"/>
      <c r="Q238" s="48"/>
      <c r="R238" s="48" t="s">
        <v>341</v>
      </c>
      <c r="S238" s="48"/>
      <c r="T238" s="49"/>
      <c r="U238" s="49"/>
      <c r="V238" s="5"/>
      <c r="W238" s="5"/>
      <c r="X238" s="5"/>
      <c r="Y238" s="50"/>
      <c r="Z238" s="50"/>
      <c r="AA238" s="50"/>
      <c r="AB238" s="78"/>
      <c r="AC238" s="34"/>
      <c r="AD238" s="34"/>
      <c r="AE238" s="34"/>
      <c r="AF238" s="34">
        <f>Project_List[[#This Row],[Professional Service Agreement (PSA) Amount]]+Project_List[[#This Row],[Engineer''s Est]]+Project_List[[#This Row],[Estimated COA
Engineering / 
Admin]]</f>
        <v>0</v>
      </c>
      <c r="AG238" s="34">
        <f>Project_List[[#This Row],[Professional Service Agreement (PSA) Amount]]+Project_List[[#This Row],[Final Construction Costs]]+Project_List[[#This Row],[Estimated COA
Engineering / 
Admin]]</f>
        <v>0</v>
      </c>
      <c r="AH238" s="34">
        <f>Project_List[[#This Row],[Overall Budget]]-Project_List[[#This Row],[Total Anticipated Costs (PSA+Est+COA Est)]]-Project_List[[#This Row],[Anticipated Costs Unincombered]]</f>
        <v>75000</v>
      </c>
      <c r="AI238" s="5"/>
      <c r="AJ238" s="54"/>
      <c r="AK238" s="51"/>
      <c r="AL238" s="5">
        <v>0</v>
      </c>
    </row>
    <row r="239" spans="1:38" ht="30" x14ac:dyDescent="0.25">
      <c r="A239" s="52" t="s">
        <v>302</v>
      </c>
      <c r="B239" s="5"/>
      <c r="C239" s="5" t="e">
        <f>LOOKUP(Project_List[[#This Row],[Fund No.]],'Code Lookup'!A$9:A$53,'Code Lookup'!B$9:B$53)</f>
        <v>#N/A</v>
      </c>
      <c r="D239" s="5"/>
      <c r="E239" s="5"/>
      <c r="F239" s="5" t="s">
        <v>359</v>
      </c>
      <c r="G239" s="5" t="s">
        <v>294</v>
      </c>
      <c r="H239" s="49" t="s">
        <v>211</v>
      </c>
      <c r="I239" s="49"/>
      <c r="J239" s="5"/>
      <c r="K239" s="53"/>
      <c r="L239" s="15"/>
      <c r="M239" s="24"/>
      <c r="N239" s="5" t="s">
        <v>302</v>
      </c>
      <c r="O239" s="5" t="s">
        <v>302</v>
      </c>
      <c r="P239" s="48"/>
      <c r="Q239" s="48"/>
      <c r="R239" s="48" t="s">
        <v>341</v>
      </c>
      <c r="S239" s="48"/>
      <c r="T239" s="49"/>
      <c r="U239" s="49"/>
      <c r="V239" s="5"/>
      <c r="W239" s="5"/>
      <c r="X239" s="5" t="s">
        <v>10</v>
      </c>
      <c r="Y239" s="50"/>
      <c r="Z239" s="50"/>
      <c r="AA239" s="50"/>
      <c r="AB239" s="78"/>
      <c r="AC239" s="34"/>
      <c r="AD239" s="34"/>
      <c r="AE239" s="34"/>
      <c r="AF239" s="34">
        <f>Project_List[[#This Row],[Professional Service Agreement (PSA) Amount]]+Project_List[[#This Row],[Engineer''s Est]]+Project_List[[#This Row],[Estimated COA
Engineering / 
Admin]]</f>
        <v>0</v>
      </c>
      <c r="AG239" s="34">
        <f>Project_List[[#This Row],[Professional Service Agreement (PSA) Amount]]+Project_List[[#This Row],[Final Construction Costs]]+Project_List[[#This Row],[Estimated COA
Engineering / 
Admin]]</f>
        <v>0</v>
      </c>
      <c r="AH239" s="50">
        <f>Project_List[[#This Row],[Overall Budget]]-Project_List[[#This Row],[Total Anticipated Costs (PSA+Est+COA Est)]]-Project_List[[#This Row],[Anticipated Costs Unincombered]]</f>
        <v>0</v>
      </c>
      <c r="AI239" s="5"/>
      <c r="AJ239" s="54"/>
      <c r="AK239" s="51" t="s">
        <v>10</v>
      </c>
      <c r="AL239" s="5">
        <v>0</v>
      </c>
    </row>
    <row r="240" spans="1:38" ht="75" x14ac:dyDescent="0.25">
      <c r="A240" s="52" t="s">
        <v>302</v>
      </c>
      <c r="B240" s="5">
        <v>390</v>
      </c>
      <c r="C240" s="5" t="str">
        <f>LOOKUP(Project_List[[#This Row],[Fund No.]],'Code Lookup'!A$9:A$53,'Code Lookup'!B$9:B$53)</f>
        <v>2029/30 GO Bonds</v>
      </c>
      <c r="D240" s="5" t="s">
        <v>30</v>
      </c>
      <c r="E240" s="5" t="s">
        <v>513</v>
      </c>
      <c r="F240" s="5" t="s">
        <v>63</v>
      </c>
      <c r="G240" s="5" t="s">
        <v>357</v>
      </c>
      <c r="H240" s="49" t="s">
        <v>211</v>
      </c>
      <c r="I240" s="49">
        <v>3700000</v>
      </c>
      <c r="J240" s="5"/>
      <c r="K240" s="53"/>
      <c r="L240" s="15"/>
      <c r="M240" s="24"/>
      <c r="N240" s="5" t="s">
        <v>302</v>
      </c>
      <c r="O240" s="5" t="s">
        <v>302</v>
      </c>
      <c r="P240" s="48"/>
      <c r="Q240" s="48"/>
      <c r="R240" s="48" t="s">
        <v>341</v>
      </c>
      <c r="S240" s="48"/>
      <c r="T240" s="49"/>
      <c r="U240" s="49"/>
      <c r="V240" s="5"/>
      <c r="W240" s="5"/>
      <c r="X240" s="5" t="s">
        <v>10</v>
      </c>
      <c r="Y240" s="50"/>
      <c r="Z240" s="50"/>
      <c r="AA240" s="50"/>
      <c r="AB240" s="78"/>
      <c r="AC240" s="34"/>
      <c r="AD240" s="34"/>
      <c r="AE240" s="34"/>
      <c r="AF240" s="34">
        <f>Project_List[[#This Row],[Professional Service Agreement (PSA) Amount]]+Project_List[[#This Row],[Engineer''s Est]]+Project_List[[#This Row],[Estimated COA
Engineering / 
Admin]]</f>
        <v>0</v>
      </c>
      <c r="AG240" s="34">
        <f>Project_List[[#This Row],[Professional Service Agreement (PSA) Amount]]+Project_List[[#This Row],[Final Construction Costs]]+Project_List[[#This Row],[Estimated COA
Engineering / 
Admin]]</f>
        <v>0</v>
      </c>
      <c r="AH240" s="50">
        <f>Project_List[[#This Row],[Overall Budget]]-Project_List[[#This Row],[Total Anticipated Costs (PSA+Est+COA Est)]]-Project_List[[#This Row],[Anticipated Costs Unincombered]]</f>
        <v>3700000</v>
      </c>
      <c r="AI240" s="5"/>
      <c r="AJ240" s="54"/>
      <c r="AK240" s="51" t="s">
        <v>10</v>
      </c>
      <c r="AL240" s="5">
        <v>1</v>
      </c>
    </row>
    <row r="241" spans="1:38" ht="30" x14ac:dyDescent="0.25">
      <c r="A241" s="52" t="s">
        <v>302</v>
      </c>
      <c r="B241" s="5">
        <v>389</v>
      </c>
      <c r="C241" s="5" t="str">
        <f>LOOKUP(Project_List[[#This Row],[Fund No.]],'Code Lookup'!A$9:A$53,'Code Lookup'!B$9:B$53)</f>
        <v>2028/29 GO Bonds</v>
      </c>
      <c r="D241" s="5" t="s">
        <v>30</v>
      </c>
      <c r="E241" s="5"/>
      <c r="F241" s="5" t="s">
        <v>319</v>
      </c>
      <c r="G241" s="5" t="s">
        <v>360</v>
      </c>
      <c r="H241" s="49" t="s">
        <v>211</v>
      </c>
      <c r="I241" s="49"/>
      <c r="J241" s="5"/>
      <c r="K241" s="53"/>
      <c r="L241" s="15"/>
      <c r="M241" s="24"/>
      <c r="N241" s="5" t="s">
        <v>302</v>
      </c>
      <c r="O241" s="5" t="s">
        <v>302</v>
      </c>
      <c r="P241" s="48"/>
      <c r="Q241" s="48"/>
      <c r="R241" s="48" t="s">
        <v>341</v>
      </c>
      <c r="S241" s="48"/>
      <c r="T241" s="49"/>
      <c r="U241" s="49"/>
      <c r="V241" s="5"/>
      <c r="W241" s="5"/>
      <c r="X241" s="5" t="s">
        <v>10</v>
      </c>
      <c r="Y241" s="50"/>
      <c r="Z241" s="50"/>
      <c r="AA241" s="50"/>
      <c r="AB241" s="78"/>
      <c r="AC241" s="34"/>
      <c r="AD241" s="34"/>
      <c r="AE241" s="34"/>
      <c r="AF241" s="34">
        <f>Project_List[[#This Row],[Professional Service Agreement (PSA) Amount]]+Project_List[[#This Row],[Engineer''s Est]]+Project_List[[#This Row],[Estimated COA
Engineering / 
Admin]]</f>
        <v>0</v>
      </c>
      <c r="AG241" s="34">
        <f>Project_List[[#This Row],[Professional Service Agreement (PSA) Amount]]+Project_List[[#This Row],[Final Construction Costs]]+Project_List[[#This Row],[Estimated COA
Engineering / 
Admin]]</f>
        <v>0</v>
      </c>
      <c r="AH241" s="50">
        <f>Project_List[[#This Row],[Overall Budget]]-Project_List[[#This Row],[Total Anticipated Costs (PSA+Est+COA Est)]]-Project_List[[#This Row],[Anticipated Costs Unincombered]]</f>
        <v>0</v>
      </c>
      <c r="AI241" s="5"/>
      <c r="AJ241" s="54"/>
      <c r="AK241" s="51" t="s">
        <v>10</v>
      </c>
      <c r="AL241" s="5">
        <v>1</v>
      </c>
    </row>
    <row r="242" spans="1:38" ht="30" x14ac:dyDescent="0.25">
      <c r="A242" s="52" t="s">
        <v>302</v>
      </c>
      <c r="B242" s="5">
        <v>390</v>
      </c>
      <c r="C242" s="5" t="str">
        <f>LOOKUP(Project_List[[#This Row],[Fund No.]],'Code Lookup'!A$9:A$53,'Code Lookup'!B$9:B$53)</f>
        <v>2029/30 GO Bonds</v>
      </c>
      <c r="D242" s="5" t="s">
        <v>30</v>
      </c>
      <c r="E242" s="5"/>
      <c r="F242" s="5" t="s">
        <v>321</v>
      </c>
      <c r="G242" s="5" t="s">
        <v>287</v>
      </c>
      <c r="H242" s="49" t="s">
        <v>211</v>
      </c>
      <c r="I242" s="49">
        <v>400000</v>
      </c>
      <c r="J242" s="5"/>
      <c r="K242" s="53"/>
      <c r="L242" s="15"/>
      <c r="M242" s="24"/>
      <c r="N242" s="5" t="s">
        <v>302</v>
      </c>
      <c r="O242" s="5" t="s">
        <v>302</v>
      </c>
      <c r="P242" s="48"/>
      <c r="Q242" s="48"/>
      <c r="R242" s="48" t="s">
        <v>341</v>
      </c>
      <c r="S242" s="48"/>
      <c r="T242" s="49"/>
      <c r="U242" s="49"/>
      <c r="V242" s="5"/>
      <c r="W242" s="5"/>
      <c r="X242" s="5" t="s">
        <v>10</v>
      </c>
      <c r="Y242" s="50"/>
      <c r="Z242" s="50"/>
      <c r="AA242" s="50"/>
      <c r="AB242" s="78"/>
      <c r="AC242" s="34"/>
      <c r="AD242" s="34"/>
      <c r="AE242" s="34"/>
      <c r="AF242" s="34">
        <f>Project_List[[#This Row],[Professional Service Agreement (PSA) Amount]]+Project_List[[#This Row],[Engineer''s Est]]+Project_List[[#This Row],[Estimated COA
Engineering / 
Admin]]</f>
        <v>0</v>
      </c>
      <c r="AG242" s="50">
        <f>Project_List[[#This Row],[Professional Service Agreement (PSA) Amount]]+Project_List[[#This Row],[Final Construction Costs]]+Project_List[[#This Row],[Estimated COA
Engineering / 
Admin]]</f>
        <v>0</v>
      </c>
      <c r="AH242" s="50">
        <f>Project_List[[#This Row],[Overall Budget]]-Project_List[[#This Row],[Total Anticipated Costs (PSA+Est+COA Est)]]-Project_List[[#This Row],[Anticipated Costs Unincombered]]</f>
        <v>400000</v>
      </c>
      <c r="AI242" s="4"/>
      <c r="AJ242" s="54"/>
      <c r="AK242" s="51" t="s">
        <v>10</v>
      </c>
      <c r="AL242" s="5">
        <v>1</v>
      </c>
    </row>
    <row r="243" spans="1:38" ht="30" x14ac:dyDescent="0.25">
      <c r="A243" s="52" t="s">
        <v>302</v>
      </c>
      <c r="B243" s="5">
        <v>390</v>
      </c>
      <c r="C243" s="5" t="str">
        <f>LOOKUP(Project_List[[#This Row],[Fund No.]],'Code Lookup'!A$9:A$53,'Code Lookup'!B$9:B$53)</f>
        <v>2029/30 GO Bonds</v>
      </c>
      <c r="D243" s="5" t="s">
        <v>30</v>
      </c>
      <c r="E243" s="5"/>
      <c r="F243" s="5" t="s">
        <v>60</v>
      </c>
      <c r="G243" s="5" t="s">
        <v>358</v>
      </c>
      <c r="H243" s="49" t="s">
        <v>211</v>
      </c>
      <c r="I243" s="49">
        <v>900000</v>
      </c>
      <c r="J243" s="5"/>
      <c r="K243" s="53"/>
      <c r="L243" s="15"/>
      <c r="M243" s="24"/>
      <c r="N243" s="5" t="s">
        <v>302</v>
      </c>
      <c r="O243" s="5" t="s">
        <v>302</v>
      </c>
      <c r="P243" s="48"/>
      <c r="Q243" s="48"/>
      <c r="R243" s="48" t="s">
        <v>341</v>
      </c>
      <c r="S243" s="48"/>
      <c r="T243" s="49"/>
      <c r="U243" s="49"/>
      <c r="V243" s="5"/>
      <c r="W243" s="5"/>
      <c r="X243" s="5" t="s">
        <v>10</v>
      </c>
      <c r="Y243" s="50"/>
      <c r="Z243" s="50"/>
      <c r="AA243" s="50"/>
      <c r="AB243" s="78"/>
      <c r="AC243" s="34"/>
      <c r="AD243" s="34"/>
      <c r="AE243" s="34"/>
      <c r="AF243" s="34">
        <f>Project_List[[#This Row],[Professional Service Agreement (PSA) Amount]]+Project_List[[#This Row],[Engineer''s Est]]+Project_List[[#This Row],[Estimated COA
Engineering / 
Admin]]</f>
        <v>0</v>
      </c>
      <c r="AG243" s="34">
        <f>Project_List[[#This Row],[Professional Service Agreement (PSA) Amount]]+Project_List[[#This Row],[Final Construction Costs]]+Project_List[[#This Row],[Estimated COA
Engineering / 
Admin]]</f>
        <v>0</v>
      </c>
      <c r="AH243" s="50">
        <f>Project_List[[#This Row],[Overall Budget]]-Project_List[[#This Row],[Total Anticipated Costs (PSA+Est+COA Est)]]-Project_List[[#This Row],[Anticipated Costs Unincombered]]</f>
        <v>900000</v>
      </c>
      <c r="AI243" s="5"/>
      <c r="AJ243" s="54"/>
      <c r="AK243" s="51" t="s">
        <v>10</v>
      </c>
      <c r="AL243" s="5">
        <v>1</v>
      </c>
    </row>
    <row r="244" spans="1:38" ht="30" x14ac:dyDescent="0.25">
      <c r="A244" s="52" t="s">
        <v>302</v>
      </c>
      <c r="B244" s="5">
        <v>60</v>
      </c>
      <c r="C244" s="5" t="str">
        <f>LOOKUP(Project_List[[#This Row],[Fund No.]],'Code Lookup'!A$9:A$53,'Code Lookup'!B$9:B$53)</f>
        <v>Road Use Tax</v>
      </c>
      <c r="D244" s="5" t="s">
        <v>292</v>
      </c>
      <c r="E244" s="5" t="s">
        <v>216</v>
      </c>
      <c r="F244" s="5" t="s">
        <v>218</v>
      </c>
      <c r="G244" s="5" t="s">
        <v>411</v>
      </c>
      <c r="H244" s="49" t="s">
        <v>211</v>
      </c>
      <c r="I244" s="49">
        <v>150000</v>
      </c>
      <c r="J244" s="5"/>
      <c r="K244" s="53"/>
      <c r="L244" s="15"/>
      <c r="M244" s="24"/>
      <c r="N244" s="5" t="s">
        <v>302</v>
      </c>
      <c r="O244" s="5" t="s">
        <v>302</v>
      </c>
      <c r="P244" s="48"/>
      <c r="Q244" s="48"/>
      <c r="R244" s="48" t="s">
        <v>341</v>
      </c>
      <c r="S244" s="48"/>
      <c r="T244" s="49"/>
      <c r="U244" s="49"/>
      <c r="V244" s="5"/>
      <c r="W244" s="5"/>
      <c r="X244" s="5" t="s">
        <v>10</v>
      </c>
      <c r="Y244" s="50"/>
      <c r="Z244" s="50"/>
      <c r="AA244" s="50"/>
      <c r="AB244" s="78"/>
      <c r="AC244" s="34"/>
      <c r="AD244" s="34"/>
      <c r="AE244" s="34"/>
      <c r="AF244" s="34">
        <f>Project_List[[#This Row],[Professional Service Agreement (PSA) Amount]]+Project_List[[#This Row],[Engineer''s Est]]+Project_List[[#This Row],[Estimated COA
Engineering / 
Admin]]</f>
        <v>0</v>
      </c>
      <c r="AG244" s="34">
        <f>Project_List[[#This Row],[Professional Service Agreement (PSA) Amount]]+Project_List[[#This Row],[Final Construction Costs]]+Project_List[[#This Row],[Estimated COA
Engineering / 
Admin]]</f>
        <v>0</v>
      </c>
      <c r="AH244" s="50">
        <f>Project_List[[#This Row],[Overall Budget]]-Project_List[[#This Row],[Total Anticipated Costs (PSA+Est+COA Est)]]-Project_List[[#This Row],[Anticipated Costs Unincombered]]</f>
        <v>150000</v>
      </c>
      <c r="AI244" s="5"/>
      <c r="AJ244" s="54"/>
      <c r="AK244" s="51" t="s">
        <v>10</v>
      </c>
      <c r="AL244" s="5">
        <v>0</v>
      </c>
    </row>
    <row r="245" spans="1:38" ht="30" x14ac:dyDescent="0.25">
      <c r="A245" s="52" t="s">
        <v>302</v>
      </c>
      <c r="B245" s="5">
        <v>390</v>
      </c>
      <c r="C245" s="5" t="str">
        <f>LOOKUP(Project_List[[#This Row],[Fund No.]],'Code Lookup'!A$9:A$53,'Code Lookup'!B$9:B$53)</f>
        <v>2029/30 GO Bonds</v>
      </c>
      <c r="D245" s="5" t="s">
        <v>30</v>
      </c>
      <c r="E245" s="5"/>
      <c r="F245" s="5" t="s">
        <v>316</v>
      </c>
      <c r="G245" s="5" t="s">
        <v>411</v>
      </c>
      <c r="H245" s="49" t="s">
        <v>211</v>
      </c>
      <c r="I245" s="49">
        <v>1000000</v>
      </c>
      <c r="J245" s="5"/>
      <c r="K245" s="53"/>
      <c r="L245" s="15"/>
      <c r="M245" s="24"/>
      <c r="N245" s="5" t="s">
        <v>302</v>
      </c>
      <c r="O245" s="5" t="s">
        <v>302</v>
      </c>
      <c r="P245" s="48"/>
      <c r="Q245" s="48"/>
      <c r="R245" s="48" t="s">
        <v>341</v>
      </c>
      <c r="S245" s="48"/>
      <c r="T245" s="49"/>
      <c r="U245" s="49"/>
      <c r="V245" s="5"/>
      <c r="W245" s="5"/>
      <c r="X245" s="5" t="s">
        <v>10</v>
      </c>
      <c r="Y245" s="50"/>
      <c r="Z245" s="50"/>
      <c r="AA245" s="50"/>
      <c r="AB245" s="78"/>
      <c r="AC245" s="34"/>
      <c r="AD245" s="34"/>
      <c r="AE245" s="34"/>
      <c r="AF245" s="34">
        <f>Project_List[[#This Row],[Professional Service Agreement (PSA) Amount]]+Project_List[[#This Row],[Engineer''s Est]]+Project_List[[#This Row],[Estimated COA
Engineering / 
Admin]]</f>
        <v>0</v>
      </c>
      <c r="AG245" s="34">
        <f>Project_List[[#This Row],[Professional Service Agreement (PSA) Amount]]+Project_List[[#This Row],[Final Construction Costs]]+Project_List[[#This Row],[Estimated COA
Engineering / 
Admin]]</f>
        <v>0</v>
      </c>
      <c r="AH245" s="50">
        <f>Project_List[[#This Row],[Overall Budget]]-Project_List[[#This Row],[Total Anticipated Costs (PSA+Est+COA Est)]]-Project_List[[#This Row],[Anticipated Costs Unincombered]]</f>
        <v>1000000</v>
      </c>
      <c r="AI245" s="5"/>
      <c r="AJ245" s="54"/>
      <c r="AK245" s="51" t="s">
        <v>10</v>
      </c>
      <c r="AL245" s="5">
        <v>1</v>
      </c>
    </row>
    <row r="246" spans="1:38" ht="30" x14ac:dyDescent="0.25">
      <c r="A246" s="52" t="s">
        <v>302</v>
      </c>
      <c r="B246" s="5">
        <v>390</v>
      </c>
      <c r="C246" s="5" t="str">
        <f>LOOKUP(Project_List[[#This Row],[Fund No.]],'Code Lookup'!A$9:A$53,'Code Lookup'!B$9:B$53)</f>
        <v>2029/30 GO Bonds</v>
      </c>
      <c r="D246" s="5" t="s">
        <v>30</v>
      </c>
      <c r="E246" s="5" t="s">
        <v>513</v>
      </c>
      <c r="F246" s="5" t="s">
        <v>61</v>
      </c>
      <c r="G246" s="5" t="s">
        <v>526</v>
      </c>
      <c r="H246" s="49" t="s">
        <v>211</v>
      </c>
      <c r="I246" s="49">
        <f>1350000-864000</f>
        <v>486000</v>
      </c>
      <c r="J246" s="5"/>
      <c r="K246" s="53"/>
      <c r="L246" s="15"/>
      <c r="M246" s="24"/>
      <c r="N246" s="5" t="s">
        <v>302</v>
      </c>
      <c r="O246" s="5" t="s">
        <v>302</v>
      </c>
      <c r="P246" s="48"/>
      <c r="Q246" s="48"/>
      <c r="R246" s="48" t="s">
        <v>341</v>
      </c>
      <c r="S246" s="48"/>
      <c r="T246" s="49"/>
      <c r="U246" s="49"/>
      <c r="V246" s="5"/>
      <c r="W246" s="5"/>
      <c r="X246" s="5" t="s">
        <v>10</v>
      </c>
      <c r="Y246" s="50"/>
      <c r="Z246" s="50"/>
      <c r="AA246" s="50"/>
      <c r="AB246" s="78"/>
      <c r="AC246" s="34"/>
      <c r="AD246" s="34"/>
      <c r="AE246" s="34"/>
      <c r="AF246" s="34">
        <f>Project_List[[#This Row],[Professional Service Agreement (PSA) Amount]]+Project_List[[#This Row],[Engineer''s Est]]+Project_List[[#This Row],[Estimated COA
Engineering / 
Admin]]</f>
        <v>0</v>
      </c>
      <c r="AG246" s="34">
        <f>Project_List[[#This Row],[Professional Service Agreement (PSA) Amount]]+Project_List[[#This Row],[Final Construction Costs]]+Project_List[[#This Row],[Estimated COA
Engineering / 
Admin]]</f>
        <v>0</v>
      </c>
      <c r="AH246" s="50">
        <f>Project_List[[#This Row],[Overall Budget]]-Project_List[[#This Row],[Total Anticipated Costs (PSA+Est+COA Est)]]-Project_List[[#This Row],[Anticipated Costs Unincombered]]</f>
        <v>486000</v>
      </c>
      <c r="AI246" s="5"/>
      <c r="AJ246" s="54"/>
      <c r="AK246" s="51" t="s">
        <v>10</v>
      </c>
      <c r="AL246" s="5">
        <v>1</v>
      </c>
    </row>
    <row r="247" spans="1:38" ht="30" x14ac:dyDescent="0.25">
      <c r="A247" s="52" t="s">
        <v>302</v>
      </c>
      <c r="B247" s="5">
        <v>320</v>
      </c>
      <c r="C247" s="5" t="str">
        <f>LOOKUP(Project_List[[#This Row],[Fund No.]],'Code Lookup'!A$9:A$53,'Code Lookup'!B$9:B$53)</f>
        <v>Street Construction</v>
      </c>
      <c r="D247" s="5" t="s">
        <v>30</v>
      </c>
      <c r="E247" s="5" t="s">
        <v>507</v>
      </c>
      <c r="F247" s="5" t="s">
        <v>61</v>
      </c>
      <c r="G247" s="5" t="s">
        <v>526</v>
      </c>
      <c r="H247" s="49" t="s">
        <v>211</v>
      </c>
      <c r="I247" s="49">
        <f>864000</f>
        <v>864000</v>
      </c>
      <c r="J247" s="5"/>
      <c r="K247" s="53"/>
      <c r="L247" s="15"/>
      <c r="M247" s="24"/>
      <c r="N247" s="5" t="s">
        <v>302</v>
      </c>
      <c r="O247" s="5" t="s">
        <v>302</v>
      </c>
      <c r="P247" s="48"/>
      <c r="Q247" s="48"/>
      <c r="R247" s="48" t="s">
        <v>341</v>
      </c>
      <c r="S247" s="48"/>
      <c r="T247" s="49"/>
      <c r="U247" s="49"/>
      <c r="V247" s="5"/>
      <c r="W247" s="5" t="s">
        <v>13</v>
      </c>
      <c r="X247" s="5" t="s">
        <v>13</v>
      </c>
      <c r="Y247" s="50"/>
      <c r="Z247" s="50"/>
      <c r="AA247" s="50"/>
      <c r="AB247" s="78"/>
      <c r="AC247" s="34"/>
      <c r="AD247" s="34"/>
      <c r="AE247" s="34"/>
      <c r="AF247" s="34">
        <f>Project_List[[#This Row],[Professional Service Agreement (PSA) Amount]]+Project_List[[#This Row],[Engineer''s Est]]+Project_List[[#This Row],[Estimated COA
Engineering / 
Admin]]</f>
        <v>0</v>
      </c>
      <c r="AG247" s="34">
        <f>Project_List[[#This Row],[Professional Service Agreement (PSA) Amount]]+Project_List[[#This Row],[Final Construction Costs]]+Project_List[[#This Row],[Estimated COA
Engineering / 
Admin]]</f>
        <v>0</v>
      </c>
      <c r="AH247" s="50">
        <f>Project_List[[#This Row],[Overall Budget]]-Project_List[[#This Row],[Total Anticipated Costs (PSA+Est+COA Est)]]-Project_List[[#This Row],[Anticipated Costs Unincombered]]</f>
        <v>864000</v>
      </c>
      <c r="AI247" s="5"/>
      <c r="AJ247" s="54"/>
      <c r="AK247" s="51"/>
      <c r="AL247" s="5">
        <v>0</v>
      </c>
    </row>
    <row r="248" spans="1:38" ht="30" x14ac:dyDescent="0.25">
      <c r="A248" s="52" t="s">
        <v>302</v>
      </c>
      <c r="B248" s="5">
        <v>60</v>
      </c>
      <c r="C248" s="5" t="str">
        <f>LOOKUP(Project_List[[#This Row],[Fund No.]],'Code Lookup'!A$9:A$53,'Code Lookup'!B$9:B$53)</f>
        <v>Road Use Tax</v>
      </c>
      <c r="D248" s="5" t="s">
        <v>30</v>
      </c>
      <c r="E248" s="5" t="s">
        <v>530</v>
      </c>
      <c r="F248" s="5" t="s">
        <v>333</v>
      </c>
      <c r="G248" s="5" t="s">
        <v>531</v>
      </c>
      <c r="H248" s="49" t="s">
        <v>211</v>
      </c>
      <c r="I248" s="49">
        <v>125000</v>
      </c>
      <c r="J248" s="5"/>
      <c r="K248" s="53" t="s">
        <v>4</v>
      </c>
      <c r="L248" s="15">
        <v>0</v>
      </c>
      <c r="M248" s="24"/>
      <c r="N248" s="5" t="s">
        <v>302</v>
      </c>
      <c r="O248" s="5" t="s">
        <v>302</v>
      </c>
      <c r="P248" s="48"/>
      <c r="Q248" s="48"/>
      <c r="R248" s="48" t="s">
        <v>341</v>
      </c>
      <c r="S248" s="48"/>
      <c r="T248" s="49"/>
      <c r="U248" s="49"/>
      <c r="V248" s="5"/>
      <c r="W248" s="5"/>
      <c r="X248" s="5"/>
      <c r="Y248" s="50"/>
      <c r="Z248" s="50"/>
      <c r="AA248" s="50"/>
      <c r="AB248" s="78"/>
      <c r="AC248" s="34"/>
      <c r="AD248" s="34"/>
      <c r="AE248" s="34"/>
      <c r="AF248" s="34">
        <f>Project_List[[#This Row],[Professional Service Agreement (PSA) Amount]]+Project_List[[#This Row],[Engineer''s Est]]+Project_List[[#This Row],[Estimated COA
Engineering / 
Admin]]</f>
        <v>0</v>
      </c>
      <c r="AG248" s="34">
        <f>Project_List[[#This Row],[Professional Service Agreement (PSA) Amount]]+Project_List[[#This Row],[Final Construction Costs]]+Project_List[[#This Row],[Estimated COA
Engineering / 
Admin]]</f>
        <v>0</v>
      </c>
      <c r="AH248" s="34">
        <f>Project_List[[#This Row],[Overall Budget]]-Project_List[[#This Row],[Total Anticipated Costs (PSA+Est+COA Est)]]-Project_List[[#This Row],[Anticipated Costs Unincombered]]</f>
        <v>125000</v>
      </c>
      <c r="AI248" s="5"/>
      <c r="AJ248" s="54"/>
      <c r="AK248" s="51"/>
      <c r="AL248" s="5">
        <v>0</v>
      </c>
    </row>
    <row r="249" spans="1:38" ht="30" x14ac:dyDescent="0.25">
      <c r="A249" s="52" t="s">
        <v>302</v>
      </c>
      <c r="B249" s="5">
        <v>510</v>
      </c>
      <c r="C249" s="5" t="str">
        <f>LOOKUP(Project_List[[#This Row],[Fund No.]],'Code Lookup'!A$9:A$53,'Code Lookup'!B$9:B$53)</f>
        <v>Water Utility</v>
      </c>
      <c r="D249" s="5" t="s">
        <v>64</v>
      </c>
      <c r="E249" s="5" t="s">
        <v>509</v>
      </c>
      <c r="F249" s="5" t="s">
        <v>333</v>
      </c>
      <c r="G249" s="5" t="s">
        <v>531</v>
      </c>
      <c r="H249" s="49" t="s">
        <v>211</v>
      </c>
      <c r="I249" s="49">
        <v>75000</v>
      </c>
      <c r="J249" s="5"/>
      <c r="K249" s="53" t="s">
        <v>4</v>
      </c>
      <c r="L249" s="15">
        <v>0</v>
      </c>
      <c r="M249" s="24"/>
      <c r="N249" s="5" t="s">
        <v>302</v>
      </c>
      <c r="O249" s="5" t="s">
        <v>302</v>
      </c>
      <c r="P249" s="48"/>
      <c r="Q249" s="48"/>
      <c r="R249" s="48" t="s">
        <v>341</v>
      </c>
      <c r="S249" s="48"/>
      <c r="T249" s="49"/>
      <c r="U249" s="49"/>
      <c r="V249" s="5"/>
      <c r="W249" s="5"/>
      <c r="X249" s="5"/>
      <c r="Y249" s="50"/>
      <c r="Z249" s="50"/>
      <c r="AA249" s="50"/>
      <c r="AB249" s="78"/>
      <c r="AC249" s="34"/>
      <c r="AD249" s="34"/>
      <c r="AE249" s="34"/>
      <c r="AF249" s="34">
        <f>Project_List[[#This Row],[Professional Service Agreement (PSA) Amount]]+Project_List[[#This Row],[Engineer''s Est]]+Project_List[[#This Row],[Estimated COA
Engineering / 
Admin]]</f>
        <v>0</v>
      </c>
      <c r="AG249" s="34">
        <f>Project_List[[#This Row],[Professional Service Agreement (PSA) Amount]]+Project_List[[#This Row],[Final Construction Costs]]+Project_List[[#This Row],[Estimated COA
Engineering / 
Admin]]</f>
        <v>0</v>
      </c>
      <c r="AH249" s="34">
        <f>Project_List[[#This Row],[Overall Budget]]-Project_List[[#This Row],[Total Anticipated Costs (PSA+Est+COA Est)]]-Project_List[[#This Row],[Anticipated Costs Unincombered]]</f>
        <v>75000</v>
      </c>
      <c r="AI249" s="5"/>
      <c r="AJ249" s="54"/>
      <c r="AK249" s="51"/>
      <c r="AL249" s="5">
        <v>0</v>
      </c>
    </row>
    <row r="250" spans="1:38" ht="30" x14ac:dyDescent="0.25">
      <c r="A250" s="52" t="s">
        <v>302</v>
      </c>
      <c r="B250" s="5">
        <v>560</v>
      </c>
      <c r="C250" s="5" t="str">
        <f>LOOKUP(Project_List[[#This Row],[Fund No.]],'Code Lookup'!A$9:A$53,'Code Lookup'!B$9:B$53)</f>
        <v>Stormwater Utility</v>
      </c>
      <c r="D250" s="5" t="s">
        <v>68</v>
      </c>
      <c r="E250" s="5"/>
      <c r="F250" s="5" t="s">
        <v>202</v>
      </c>
      <c r="G250" s="5" t="s">
        <v>488</v>
      </c>
      <c r="H250" s="49" t="s">
        <v>211</v>
      </c>
      <c r="I250" s="49"/>
      <c r="J250" s="5"/>
      <c r="K250" s="53"/>
      <c r="L250" s="15"/>
      <c r="M250" s="24"/>
      <c r="N250" s="5" t="s">
        <v>302</v>
      </c>
      <c r="O250" s="5" t="s">
        <v>302</v>
      </c>
      <c r="P250" s="48"/>
      <c r="Q250" s="48"/>
      <c r="R250" s="48" t="s">
        <v>341</v>
      </c>
      <c r="S250" s="48"/>
      <c r="T250" s="49"/>
      <c r="U250" s="49"/>
      <c r="V250" s="5"/>
      <c r="W250" s="5"/>
      <c r="X250" s="5" t="s">
        <v>10</v>
      </c>
      <c r="Y250" s="50"/>
      <c r="Z250" s="50"/>
      <c r="AA250" s="50"/>
      <c r="AB250" s="78"/>
      <c r="AC250" s="34"/>
      <c r="AD250" s="34"/>
      <c r="AE250" s="34"/>
      <c r="AF250" s="34">
        <f>Project_List[[#This Row],[Professional Service Agreement (PSA) Amount]]+Project_List[[#This Row],[Engineer''s Est]]+Project_List[[#This Row],[Estimated COA
Engineering / 
Admin]]</f>
        <v>0</v>
      </c>
      <c r="AG250" s="50">
        <f>Project_List[[#This Row],[Professional Service Agreement (PSA) Amount]]+Project_List[[#This Row],[Final Construction Costs]]+Project_List[[#This Row],[Estimated COA
Engineering / 
Admin]]</f>
        <v>0</v>
      </c>
      <c r="AH250" s="50">
        <f>Project_List[[#This Row],[Overall Budget]]-Project_List[[#This Row],[Total Anticipated Costs (PSA+Est+COA Est)]]-Project_List[[#This Row],[Anticipated Costs Unincombered]]</f>
        <v>0</v>
      </c>
      <c r="AI250" s="4"/>
      <c r="AJ250" s="54"/>
      <c r="AK250" s="51" t="s">
        <v>10</v>
      </c>
      <c r="AL250" s="5">
        <v>1</v>
      </c>
    </row>
    <row r="251" spans="1:38" ht="30" x14ac:dyDescent="0.25">
      <c r="A251" s="52" t="s">
        <v>341</v>
      </c>
      <c r="B251" s="5">
        <v>387</v>
      </c>
      <c r="C251" s="5" t="str">
        <f>LOOKUP(Project_List[[#This Row],[Fund No.]],'Code Lookup'!A$9:A$53,'Code Lookup'!B$9:B$53)</f>
        <v>2026/27 GO Bonds</v>
      </c>
      <c r="D251" s="5" t="s">
        <v>30</v>
      </c>
      <c r="E251" s="5"/>
      <c r="F251" s="5" t="s">
        <v>320</v>
      </c>
      <c r="G251" s="5" t="s">
        <v>506</v>
      </c>
      <c r="H251" s="49" t="s">
        <v>211</v>
      </c>
      <c r="I251" s="49">
        <v>1400000</v>
      </c>
      <c r="J251" s="5"/>
      <c r="K251" s="53"/>
      <c r="L251" s="15"/>
      <c r="M251" s="24"/>
      <c r="N251" s="5" t="s">
        <v>341</v>
      </c>
      <c r="O251" s="5" t="s">
        <v>341</v>
      </c>
      <c r="P251" s="48"/>
      <c r="Q251" s="48"/>
      <c r="R251" s="48" t="s">
        <v>516</v>
      </c>
      <c r="S251" s="48"/>
      <c r="T251" s="49"/>
      <c r="U251" s="49"/>
      <c r="V251" s="5"/>
      <c r="W251" s="5"/>
      <c r="X251" s="5" t="s">
        <v>10</v>
      </c>
      <c r="Y251" s="50"/>
      <c r="Z251" s="50"/>
      <c r="AA251" s="50"/>
      <c r="AB251" s="78"/>
      <c r="AC251" s="34"/>
      <c r="AD251" s="34"/>
      <c r="AE251" s="34"/>
      <c r="AF251" s="34">
        <f>Project_List[[#This Row],[Professional Service Agreement (PSA) Amount]]+Project_List[[#This Row],[Engineer''s Est]]+Project_List[[#This Row],[Estimated COA
Engineering / 
Admin]]</f>
        <v>0</v>
      </c>
      <c r="AG251" s="50">
        <f>Project_List[[#This Row],[Professional Service Agreement (PSA) Amount]]+Project_List[[#This Row],[Final Construction Costs]]+Project_List[[#This Row],[Estimated COA
Engineering / 
Admin]]</f>
        <v>0</v>
      </c>
      <c r="AH251" s="50">
        <f>Project_List[[#This Row],[Overall Budget]]-Project_List[[#This Row],[Total Anticipated Costs (PSA+Est+COA Est)]]-Project_List[[#This Row],[Anticipated Costs Unincombered]]</f>
        <v>1400000</v>
      </c>
      <c r="AI251" s="4"/>
      <c r="AJ251" s="54"/>
      <c r="AK251" s="51" t="s">
        <v>10</v>
      </c>
      <c r="AL251" s="5">
        <v>1</v>
      </c>
    </row>
    <row r="252" spans="1:38" ht="30" x14ac:dyDescent="0.25">
      <c r="A252" s="52" t="s">
        <v>341</v>
      </c>
      <c r="B252" s="5">
        <v>560</v>
      </c>
      <c r="C252" s="5" t="str">
        <f>LOOKUP(Project_List[[#This Row],[Fund No.]],'Code Lookup'!A$9:A$53,'Code Lookup'!B$9:B$53)</f>
        <v>Stormwater Utility</v>
      </c>
      <c r="D252" s="5" t="s">
        <v>68</v>
      </c>
      <c r="E252" s="5" t="s">
        <v>532</v>
      </c>
      <c r="F252" s="5" t="s">
        <v>198</v>
      </c>
      <c r="G252" s="5" t="s">
        <v>489</v>
      </c>
      <c r="H252" s="49" t="s">
        <v>211</v>
      </c>
      <c r="I252" s="49"/>
      <c r="J252" s="5"/>
      <c r="K252" s="53"/>
      <c r="L252" s="15"/>
      <c r="M252" s="24"/>
      <c r="N252" s="5" t="s">
        <v>341</v>
      </c>
      <c r="O252" s="5" t="s">
        <v>341</v>
      </c>
      <c r="P252" s="48"/>
      <c r="Q252" s="48" t="s">
        <v>516</v>
      </c>
      <c r="R252" s="48"/>
      <c r="S252" s="48"/>
      <c r="T252" s="49"/>
      <c r="U252" s="49"/>
      <c r="V252" s="5"/>
      <c r="W252" s="5"/>
      <c r="X252" s="5"/>
      <c r="Y252" s="50"/>
      <c r="Z252" s="50"/>
      <c r="AA252" s="50"/>
      <c r="AB252" s="78"/>
      <c r="AC252" s="34"/>
      <c r="AD252" s="34"/>
      <c r="AE252" s="34"/>
      <c r="AF252" s="34">
        <f>Project_List[[#This Row],[Professional Service Agreement (PSA) Amount]]+Project_List[[#This Row],[Engineer''s Est]]+Project_List[[#This Row],[Estimated COA
Engineering / 
Admin]]</f>
        <v>0</v>
      </c>
      <c r="AG252" s="34">
        <f>Project_List[[#This Row],[Professional Service Agreement (PSA) Amount]]+Project_List[[#This Row],[Final Construction Costs]]+Project_List[[#This Row],[Estimated COA
Engineering / 
Admin]]</f>
        <v>0</v>
      </c>
      <c r="AH252" s="34">
        <f>Project_List[[#This Row],[Overall Budget]]-Project_List[[#This Row],[Total Anticipated Costs (PSA+Est+COA Est)]]-Project_List[[#This Row],[Anticipated Costs Unincombered]]</f>
        <v>0</v>
      </c>
      <c r="AI252" s="5"/>
      <c r="AJ252" s="54"/>
      <c r="AK252" s="51"/>
      <c r="AL252" s="5">
        <f>COUNTA(_xlfn.UNIQUE(Project_List[[#This Row],[Project Name]]))</f>
        <v>1</v>
      </c>
    </row>
    <row r="253" spans="1:38" ht="30" x14ac:dyDescent="0.25">
      <c r="A253" s="52" t="s">
        <v>341</v>
      </c>
      <c r="B253" s="5">
        <v>560</v>
      </c>
      <c r="C253" s="5" t="str">
        <f>LOOKUP(Project_List[[#This Row],[Fund No.]],'Code Lookup'!A$9:A$53,'Code Lookup'!B$9:B$53)</f>
        <v>Stormwater Utility</v>
      </c>
      <c r="D253" s="5" t="s">
        <v>68</v>
      </c>
      <c r="E253" s="5" t="s">
        <v>532</v>
      </c>
      <c r="F253" s="5" t="s">
        <v>198</v>
      </c>
      <c r="G253" s="5" t="s">
        <v>490</v>
      </c>
      <c r="H253" s="49" t="s">
        <v>211</v>
      </c>
      <c r="I253" s="49"/>
      <c r="J253" s="5"/>
      <c r="K253" s="53"/>
      <c r="L253" s="15"/>
      <c r="M253" s="24"/>
      <c r="N253" s="5" t="s">
        <v>341</v>
      </c>
      <c r="O253" s="5" t="s">
        <v>341</v>
      </c>
      <c r="P253" s="48"/>
      <c r="Q253" s="48" t="s">
        <v>516</v>
      </c>
      <c r="R253" s="48"/>
      <c r="S253" s="48"/>
      <c r="T253" s="49"/>
      <c r="U253" s="49"/>
      <c r="V253" s="5"/>
      <c r="W253" s="5"/>
      <c r="X253" s="5"/>
      <c r="Y253" s="50"/>
      <c r="Z253" s="50"/>
      <c r="AA253" s="50"/>
      <c r="AB253" s="78"/>
      <c r="AC253" s="34"/>
      <c r="AD253" s="34"/>
      <c r="AE253" s="34"/>
      <c r="AF253" s="34">
        <f>Project_List[[#This Row],[Professional Service Agreement (PSA) Amount]]+Project_List[[#This Row],[Engineer''s Est]]+Project_List[[#This Row],[Estimated COA
Engineering / 
Admin]]</f>
        <v>0</v>
      </c>
      <c r="AG253" s="34">
        <f>Project_List[[#This Row],[Professional Service Agreement (PSA) Amount]]+Project_List[[#This Row],[Final Construction Costs]]+Project_List[[#This Row],[Estimated COA
Engineering / 
Admin]]</f>
        <v>0</v>
      </c>
      <c r="AH253" s="34">
        <f>Project_List[[#This Row],[Overall Budget]]-Project_List[[#This Row],[Total Anticipated Costs (PSA+Est+COA Est)]]-Project_List[[#This Row],[Anticipated Costs Unincombered]]</f>
        <v>0</v>
      </c>
      <c r="AI253" s="5"/>
      <c r="AJ253" s="54"/>
      <c r="AK253" s="51"/>
      <c r="AL253" s="5">
        <f>COUNTA(_xlfn.UNIQUE(Project_List[[#This Row],[Project Name]]))</f>
        <v>1</v>
      </c>
    </row>
    <row r="254" spans="1:38" x14ac:dyDescent="0.25">
      <c r="A254" s="52" t="s">
        <v>341</v>
      </c>
      <c r="B254" s="5">
        <v>560</v>
      </c>
      <c r="C254" s="5" t="str">
        <f>LOOKUP(Project_List[[#This Row],[Fund No.]],'Code Lookup'!A$9:A$53,'Code Lookup'!B$9:B$53)</f>
        <v>Stormwater Utility</v>
      </c>
      <c r="D254" s="5" t="s">
        <v>68</v>
      </c>
      <c r="E254" s="5" t="s">
        <v>532</v>
      </c>
      <c r="F254" s="5" t="s">
        <v>333</v>
      </c>
      <c r="G254" s="5" t="s">
        <v>531</v>
      </c>
      <c r="H254" s="49" t="s">
        <v>211</v>
      </c>
      <c r="I254" s="49">
        <v>50000</v>
      </c>
      <c r="J254" s="5"/>
      <c r="K254" s="53" t="s">
        <v>4</v>
      </c>
      <c r="L254" s="15">
        <v>0</v>
      </c>
      <c r="M254" s="24"/>
      <c r="N254" s="5" t="s">
        <v>341</v>
      </c>
      <c r="O254" s="5" t="s">
        <v>341</v>
      </c>
      <c r="P254" s="48"/>
      <c r="Q254" s="48" t="s">
        <v>516</v>
      </c>
      <c r="R254" s="48"/>
      <c r="S254" s="48"/>
      <c r="T254" s="49"/>
      <c r="U254" s="49"/>
      <c r="V254" s="5"/>
      <c r="W254" s="5"/>
      <c r="X254" s="5"/>
      <c r="Y254" s="50"/>
      <c r="Z254" s="50"/>
      <c r="AA254" s="50"/>
      <c r="AB254" s="78"/>
      <c r="AC254" s="34"/>
      <c r="AD254" s="34"/>
      <c r="AE254" s="34"/>
      <c r="AF254" s="34">
        <f>Project_List[[#This Row],[Professional Service Agreement (PSA) Amount]]+Project_List[[#This Row],[Engineer''s Est]]+Project_List[[#This Row],[Estimated COA
Engineering / 
Admin]]</f>
        <v>0</v>
      </c>
      <c r="AG254" s="34">
        <f>Project_List[[#This Row],[Professional Service Agreement (PSA) Amount]]+Project_List[[#This Row],[Final Construction Costs]]+Project_List[[#This Row],[Estimated COA
Engineering / 
Admin]]</f>
        <v>0</v>
      </c>
      <c r="AH254" s="34">
        <f>Project_List[[#This Row],[Overall Budget]]-Project_List[[#This Row],[Total Anticipated Costs (PSA+Est+COA Est)]]-Project_List[[#This Row],[Anticipated Costs Unincombered]]</f>
        <v>50000</v>
      </c>
      <c r="AI254" s="5"/>
      <c r="AJ254" s="54"/>
      <c r="AK254" s="51"/>
      <c r="AL254" s="5">
        <v>0</v>
      </c>
    </row>
    <row r="255" spans="1:38" ht="30" x14ac:dyDescent="0.25">
      <c r="A255" s="52" t="s">
        <v>341</v>
      </c>
      <c r="B255" s="5">
        <v>520</v>
      </c>
      <c r="C255" s="5" t="str">
        <f>LOOKUP(Project_List[[#This Row],[Fund No.]],'Code Lookup'!A$9:A$53,'Code Lookup'!B$9:B$53)</f>
        <v>Sewer Utility</v>
      </c>
      <c r="D255" s="5" t="s">
        <v>322</v>
      </c>
      <c r="E255" s="5" t="s">
        <v>510</v>
      </c>
      <c r="F255" s="5" t="s">
        <v>333</v>
      </c>
      <c r="G255" s="5" t="s">
        <v>531</v>
      </c>
      <c r="H255" s="49" t="s">
        <v>211</v>
      </c>
      <c r="I255" s="49">
        <v>75000</v>
      </c>
      <c r="J255" s="5"/>
      <c r="K255" s="53" t="s">
        <v>4</v>
      </c>
      <c r="L255" s="15">
        <v>0</v>
      </c>
      <c r="M255" s="24"/>
      <c r="N255" s="5" t="s">
        <v>341</v>
      </c>
      <c r="O255" s="5" t="s">
        <v>341</v>
      </c>
      <c r="P255" s="48"/>
      <c r="Q255" s="48" t="s">
        <v>516</v>
      </c>
      <c r="R255" s="48"/>
      <c r="S255" s="48"/>
      <c r="T255" s="49"/>
      <c r="U255" s="49"/>
      <c r="V255" s="5"/>
      <c r="W255" s="5"/>
      <c r="X255" s="5"/>
      <c r="Y255" s="50"/>
      <c r="Z255" s="50"/>
      <c r="AA255" s="50"/>
      <c r="AB255" s="78"/>
      <c r="AC255" s="34"/>
      <c r="AD255" s="34"/>
      <c r="AE255" s="34"/>
      <c r="AF255" s="34">
        <f>Project_List[[#This Row],[Professional Service Agreement (PSA) Amount]]+Project_List[[#This Row],[Engineer''s Est]]+Project_List[[#This Row],[Estimated COA
Engineering / 
Admin]]</f>
        <v>0</v>
      </c>
      <c r="AG255" s="34">
        <f>Project_List[[#This Row],[Professional Service Agreement (PSA) Amount]]+Project_List[[#This Row],[Final Construction Costs]]+Project_List[[#This Row],[Estimated COA
Engineering / 
Admin]]</f>
        <v>0</v>
      </c>
      <c r="AH255" s="34">
        <f>Project_List[[#This Row],[Overall Budget]]-Project_List[[#This Row],[Total Anticipated Costs (PSA+Est+COA Est)]]-Project_List[[#This Row],[Anticipated Costs Unincombered]]</f>
        <v>75000</v>
      </c>
      <c r="AI255" s="5"/>
      <c r="AJ255" s="54"/>
      <c r="AK255" s="51"/>
      <c r="AL255" s="5">
        <v>0</v>
      </c>
    </row>
    <row r="256" spans="1:38" ht="30" x14ac:dyDescent="0.25">
      <c r="A256" s="52" t="s">
        <v>341</v>
      </c>
      <c r="B256" s="5">
        <v>391</v>
      </c>
      <c r="C256" s="5" t="str">
        <f>LOOKUP(Project_List[[#This Row],[Fund No.]],'Code Lookup'!A$9:A$53,'Code Lookup'!B$9:B$53)</f>
        <v>2030/31 GO Bonds</v>
      </c>
      <c r="D256" s="5" t="s">
        <v>30</v>
      </c>
      <c r="E256" s="5" t="s">
        <v>514</v>
      </c>
      <c r="F256" s="5" t="s">
        <v>60</v>
      </c>
      <c r="G256" s="5" t="s">
        <v>541</v>
      </c>
      <c r="H256" s="49" t="s">
        <v>211</v>
      </c>
      <c r="I256" s="49">
        <v>1200000</v>
      </c>
      <c r="J256" s="5"/>
      <c r="K256" s="53"/>
      <c r="L256" s="15"/>
      <c r="M256" s="24"/>
      <c r="N256" s="5" t="s">
        <v>341</v>
      </c>
      <c r="O256" s="5" t="s">
        <v>341</v>
      </c>
      <c r="P256" s="48"/>
      <c r="Q256" s="48" t="s">
        <v>516</v>
      </c>
      <c r="R256" s="48"/>
      <c r="S256" s="48"/>
      <c r="T256" s="49"/>
      <c r="U256" s="49"/>
      <c r="V256" s="5"/>
      <c r="W256" s="5"/>
      <c r="X256" s="5"/>
      <c r="Y256" s="50"/>
      <c r="Z256" s="50"/>
      <c r="AA256" s="50"/>
      <c r="AB256" s="78"/>
      <c r="AC256" s="34"/>
      <c r="AD256" s="34">
        <v>600000</v>
      </c>
      <c r="AE256" s="34"/>
      <c r="AF256" s="34">
        <f>Project_List[[#This Row],[Professional Service Agreement (PSA) Amount]]+Project_List[[#This Row],[Engineer''s Est]]+Project_List[[#This Row],[Estimated COA
Engineering / 
Admin]]</f>
        <v>600000</v>
      </c>
      <c r="AG256" s="34">
        <f>Project_List[[#This Row],[Professional Service Agreement (PSA) Amount]]+Project_List[[#This Row],[Final Construction Costs]]+Project_List[[#This Row],[Estimated COA
Engineering / 
Admin]]</f>
        <v>600000</v>
      </c>
      <c r="AH256" s="34">
        <f>Project_List[[#This Row],[Overall Budget]]-Project_List[[#This Row],[Total Anticipated Costs (PSA+Est+COA Est)]]-Project_List[[#This Row],[Anticipated Costs Unincombered]]</f>
        <v>600000</v>
      </c>
      <c r="AI256" s="5"/>
      <c r="AJ256" s="54"/>
      <c r="AK256" s="51"/>
      <c r="AL256" s="5">
        <f>COUNTA(_xlfn.UNIQUE(Project_List[[#This Row],[Project Name]]))</f>
        <v>1</v>
      </c>
    </row>
    <row r="257" spans="1:38" ht="45" x14ac:dyDescent="0.25">
      <c r="A257" s="52" t="s">
        <v>341</v>
      </c>
      <c r="B257" s="5">
        <v>391</v>
      </c>
      <c r="C257" s="5" t="str">
        <f>LOOKUP(Project_List[[#This Row],[Fund No.]],'Code Lookup'!A$9:A$53,'Code Lookup'!B$9:B$53)</f>
        <v>2030/31 GO Bonds</v>
      </c>
      <c r="D257" s="5" t="s">
        <v>30</v>
      </c>
      <c r="E257" s="5" t="s">
        <v>514</v>
      </c>
      <c r="F257" s="5" t="s">
        <v>319</v>
      </c>
      <c r="G257" s="5" t="s">
        <v>534</v>
      </c>
      <c r="H257" s="49" t="s">
        <v>211</v>
      </c>
      <c r="I257" s="49">
        <v>1700000</v>
      </c>
      <c r="J257" s="5"/>
      <c r="K257" s="53"/>
      <c r="L257" s="15"/>
      <c r="M257" s="24"/>
      <c r="N257" s="5" t="s">
        <v>341</v>
      </c>
      <c r="O257" s="5" t="s">
        <v>341</v>
      </c>
      <c r="P257" s="48"/>
      <c r="Q257" s="48" t="s">
        <v>516</v>
      </c>
      <c r="R257" s="48"/>
      <c r="S257" s="48"/>
      <c r="T257" s="49"/>
      <c r="U257" s="49"/>
      <c r="V257" s="5"/>
      <c r="W257" s="5"/>
      <c r="X257" s="5"/>
      <c r="Y257" s="50"/>
      <c r="Z257" s="50"/>
      <c r="AA257" s="50"/>
      <c r="AB257" s="78"/>
      <c r="AC257" s="34"/>
      <c r="AD257" s="34">
        <v>340000</v>
      </c>
      <c r="AE257" s="34"/>
      <c r="AF257" s="34"/>
      <c r="AG257" s="34"/>
      <c r="AH257" s="34"/>
      <c r="AI257" s="5"/>
      <c r="AJ257" s="54"/>
      <c r="AK257" s="51"/>
      <c r="AL257" s="5"/>
    </row>
    <row r="258" spans="1:38" ht="30" x14ac:dyDescent="0.25">
      <c r="A258" s="52" t="s">
        <v>341</v>
      </c>
      <c r="B258" s="5">
        <v>391</v>
      </c>
      <c r="C258" s="5" t="str">
        <f>LOOKUP(Project_List[[#This Row],[Fund No.]],'Code Lookup'!A$9:A$53,'Code Lookup'!B$9:B$53)</f>
        <v>2030/31 GO Bonds</v>
      </c>
      <c r="D258" s="5" t="s">
        <v>30</v>
      </c>
      <c r="E258" s="5" t="s">
        <v>514</v>
      </c>
      <c r="F258" s="5" t="s">
        <v>61</v>
      </c>
      <c r="G258" s="5" t="s">
        <v>515</v>
      </c>
      <c r="H258" s="49" t="s">
        <v>211</v>
      </c>
      <c r="I258" s="49">
        <v>460000</v>
      </c>
      <c r="J258" s="5"/>
      <c r="K258" s="53"/>
      <c r="L258" s="15"/>
      <c r="M258" s="24"/>
      <c r="N258" s="5" t="s">
        <v>341</v>
      </c>
      <c r="O258" s="5" t="s">
        <v>341</v>
      </c>
      <c r="P258" s="48"/>
      <c r="Q258" s="48" t="s">
        <v>516</v>
      </c>
      <c r="R258" s="48"/>
      <c r="S258" s="48"/>
      <c r="T258" s="49"/>
      <c r="U258" s="49"/>
      <c r="V258" s="5"/>
      <c r="W258" s="5"/>
      <c r="X258" s="5"/>
      <c r="Y258" s="50"/>
      <c r="Z258" s="50"/>
      <c r="AA258" s="50"/>
      <c r="AB258" s="78"/>
      <c r="AC258" s="34"/>
      <c r="AD258" s="34">
        <v>380000</v>
      </c>
      <c r="AE258" s="34"/>
      <c r="AF258" s="34">
        <f>Project_List[[#This Row],[Professional Service Agreement (PSA) Amount]]+Project_List[[#This Row],[Engineer''s Est]]+Project_List[[#This Row],[Estimated COA
Engineering / 
Admin]]</f>
        <v>380000</v>
      </c>
      <c r="AG258" s="34">
        <f>Project_List[[#This Row],[Professional Service Agreement (PSA) Amount]]+Project_List[[#This Row],[Final Construction Costs]]+Project_List[[#This Row],[Estimated COA
Engineering / 
Admin]]</f>
        <v>380000</v>
      </c>
      <c r="AH258" s="34">
        <f>Project_List[[#This Row],[Overall Budget]]-Project_List[[#This Row],[Total Anticipated Costs (PSA+Est+COA Est)]]-Project_List[[#This Row],[Anticipated Costs Unincombered]]</f>
        <v>80000</v>
      </c>
      <c r="AI258" s="5"/>
      <c r="AJ258" s="54"/>
      <c r="AK258" s="51"/>
      <c r="AL258" s="5">
        <f>COUNTA(_xlfn.UNIQUE(Project_List[[#This Row],[Project Name]]))</f>
        <v>1</v>
      </c>
    </row>
    <row r="259" spans="1:38" ht="30" x14ac:dyDescent="0.25">
      <c r="A259" s="52" t="s">
        <v>341</v>
      </c>
      <c r="B259" s="5">
        <v>320</v>
      </c>
      <c r="C259" s="5" t="str">
        <f>LOOKUP(Project_List[[#This Row],[Fund No.]],'Code Lookup'!A$9:A$53,'Code Lookup'!B$9:B$53)</f>
        <v>Street Construction</v>
      </c>
      <c r="D259" s="5" t="s">
        <v>30</v>
      </c>
      <c r="E259" s="5" t="s">
        <v>507</v>
      </c>
      <c r="F259" s="5" t="s">
        <v>61</v>
      </c>
      <c r="G259" s="5" t="s">
        <v>515</v>
      </c>
      <c r="H259" s="49" t="s">
        <v>211</v>
      </c>
      <c r="I259" s="49">
        <v>2160000</v>
      </c>
      <c r="J259" s="5"/>
      <c r="K259" s="53"/>
      <c r="L259" s="15"/>
      <c r="M259" s="24"/>
      <c r="N259" s="5" t="s">
        <v>341</v>
      </c>
      <c r="O259" s="5" t="s">
        <v>341</v>
      </c>
      <c r="P259" s="48"/>
      <c r="Q259" s="48" t="s">
        <v>516</v>
      </c>
      <c r="R259" s="48"/>
      <c r="S259" s="48"/>
      <c r="T259" s="49"/>
      <c r="U259" s="49"/>
      <c r="V259" s="5"/>
      <c r="W259" s="5"/>
      <c r="X259" s="5"/>
      <c r="Y259" s="50"/>
      <c r="Z259" s="50"/>
      <c r="AA259" s="50"/>
      <c r="AB259" s="78"/>
      <c r="AC259" s="34"/>
      <c r="AD259" s="34"/>
      <c r="AE259" s="34"/>
      <c r="AF259" s="34">
        <f>Project_List[[#This Row],[Professional Service Agreement (PSA) Amount]]+Project_List[[#This Row],[Engineer''s Est]]+Project_List[[#This Row],[Estimated COA
Engineering / 
Admin]]</f>
        <v>0</v>
      </c>
      <c r="AG259" s="34">
        <f>Project_List[[#This Row],[Professional Service Agreement (PSA) Amount]]+Project_List[[#This Row],[Final Construction Costs]]+Project_List[[#This Row],[Estimated COA
Engineering / 
Admin]]</f>
        <v>0</v>
      </c>
      <c r="AH259" s="34">
        <f>Project_List[[#This Row],[Overall Budget]]-Project_List[[#This Row],[Total Anticipated Costs (PSA+Est+COA Est)]]-Project_List[[#This Row],[Anticipated Costs Unincombered]]</f>
        <v>2160000</v>
      </c>
      <c r="AI259" s="5"/>
      <c r="AJ259" s="54"/>
      <c r="AK259" s="51"/>
      <c r="AL259" s="5">
        <v>0</v>
      </c>
    </row>
    <row r="260" spans="1:38" ht="30" x14ac:dyDescent="0.25">
      <c r="A260" s="52" t="s">
        <v>341</v>
      </c>
      <c r="B260" s="5">
        <v>391</v>
      </c>
      <c r="C260" s="5" t="str">
        <f>LOOKUP(Project_List[[#This Row],[Fund No.]],'Code Lookup'!A$9:A$53,'Code Lookup'!B$9:B$53)</f>
        <v>2030/31 GO Bonds</v>
      </c>
      <c r="D260" s="5" t="s">
        <v>30</v>
      </c>
      <c r="E260" s="5" t="s">
        <v>514</v>
      </c>
      <c r="F260" s="5" t="s">
        <v>321</v>
      </c>
      <c r="G260" s="5" t="s">
        <v>521</v>
      </c>
      <c r="H260" s="49" t="s">
        <v>211</v>
      </c>
      <c r="I260" s="49">
        <v>400000</v>
      </c>
      <c r="J260" s="5"/>
      <c r="K260" s="53"/>
      <c r="L260" s="15"/>
      <c r="M260" s="24"/>
      <c r="N260" s="5" t="s">
        <v>341</v>
      </c>
      <c r="O260" s="5" t="s">
        <v>341</v>
      </c>
      <c r="P260" s="48"/>
      <c r="Q260" s="48" t="s">
        <v>516</v>
      </c>
      <c r="R260" s="48"/>
      <c r="S260" s="48"/>
      <c r="T260" s="49"/>
      <c r="U260" s="49"/>
      <c r="V260" s="5"/>
      <c r="W260" s="5"/>
      <c r="X260" s="5"/>
      <c r="Y260" s="50"/>
      <c r="Z260" s="50"/>
      <c r="AA260" s="50"/>
      <c r="AB260" s="78"/>
      <c r="AC260" s="34"/>
      <c r="AD260" s="34"/>
      <c r="AE260" s="34"/>
      <c r="AF260" s="34">
        <f>Project_List[[#This Row],[Professional Service Agreement (PSA) Amount]]+Project_List[[#This Row],[Engineer''s Est]]+Project_List[[#This Row],[Estimated COA
Engineering / 
Admin]]</f>
        <v>0</v>
      </c>
      <c r="AG260" s="34">
        <f>Project_List[[#This Row],[Professional Service Agreement (PSA) Amount]]+Project_List[[#This Row],[Final Construction Costs]]+Project_List[[#This Row],[Estimated COA
Engineering / 
Admin]]</f>
        <v>0</v>
      </c>
      <c r="AH260" s="34">
        <f>Project_List[[#This Row],[Overall Budget]]-Project_List[[#This Row],[Total Anticipated Costs (PSA+Est+COA Est)]]-Project_List[[#This Row],[Anticipated Costs Unincombered]]</f>
        <v>400000</v>
      </c>
      <c r="AI260" s="5"/>
      <c r="AJ260" s="54"/>
      <c r="AK260" s="51"/>
      <c r="AL260" s="5">
        <f>COUNTA(_xlfn.UNIQUE(Project_List[[#This Row],[Project Name]]))</f>
        <v>1</v>
      </c>
    </row>
    <row r="261" spans="1:38" ht="30" x14ac:dyDescent="0.25">
      <c r="A261" s="52" t="s">
        <v>341</v>
      </c>
      <c r="B261" s="5">
        <v>30</v>
      </c>
      <c r="C261" s="5" t="str">
        <f>LOOKUP(Project_List[[#This Row],[Fund No.]],'Code Lookup'!A$9:A$53,'Code Lookup'!B$9:B$53)</f>
        <v>Local Option Sales Tax</v>
      </c>
      <c r="D261" s="5" t="s">
        <v>327</v>
      </c>
      <c r="E261" s="5" t="s">
        <v>524</v>
      </c>
      <c r="F261" s="5" t="s">
        <v>525</v>
      </c>
      <c r="G261" s="5" t="s">
        <v>515</v>
      </c>
      <c r="H261" s="49" t="s">
        <v>211</v>
      </c>
      <c r="I261" s="49">
        <v>80000</v>
      </c>
      <c r="J261" s="5"/>
      <c r="K261" s="53"/>
      <c r="L261" s="15"/>
      <c r="M261" s="24"/>
      <c r="N261" s="5" t="s">
        <v>341</v>
      </c>
      <c r="O261" s="5" t="s">
        <v>341</v>
      </c>
      <c r="P261" s="48"/>
      <c r="Q261" s="48" t="s">
        <v>516</v>
      </c>
      <c r="R261" s="48"/>
      <c r="S261" s="48"/>
      <c r="T261" s="49"/>
      <c r="U261" s="49"/>
      <c r="V261" s="5"/>
      <c r="W261" s="5"/>
      <c r="X261" s="5"/>
      <c r="Y261" s="50"/>
      <c r="Z261" s="50"/>
      <c r="AA261" s="50"/>
      <c r="AB261" s="78"/>
      <c r="AC261" s="34"/>
      <c r="AD261" s="34"/>
      <c r="AE261" s="34"/>
      <c r="AF261" s="34">
        <f>Project_List[[#This Row],[Professional Service Agreement (PSA) Amount]]+Project_List[[#This Row],[Engineer''s Est]]+Project_List[[#This Row],[Estimated COA
Engineering / 
Admin]]</f>
        <v>0</v>
      </c>
      <c r="AG261" s="34">
        <f>Project_List[[#This Row],[Professional Service Agreement (PSA) Amount]]+Project_List[[#This Row],[Final Construction Costs]]+Project_List[[#This Row],[Estimated COA
Engineering / 
Admin]]</f>
        <v>0</v>
      </c>
      <c r="AH261" s="34">
        <f>Project_List[[#This Row],[Overall Budget]]-Project_List[[#This Row],[Total Anticipated Costs (PSA+Est+COA Est)]]-Project_List[[#This Row],[Anticipated Costs Unincombered]]</f>
        <v>80000</v>
      </c>
      <c r="AI261" s="5"/>
      <c r="AJ261" s="54"/>
      <c r="AK261" s="51"/>
      <c r="AL261" s="5">
        <v>0</v>
      </c>
    </row>
    <row r="262" spans="1:38" ht="60" x14ac:dyDescent="0.25">
      <c r="A262" s="52" t="s">
        <v>341</v>
      </c>
      <c r="B262" s="5">
        <v>391</v>
      </c>
      <c r="C262" s="5" t="str">
        <f>LOOKUP(Project_List[[#This Row],[Fund No.]],'Code Lookup'!A$9:A$53,'Code Lookup'!B$9:B$53)</f>
        <v>2030/31 GO Bonds</v>
      </c>
      <c r="D262" s="5" t="s">
        <v>30</v>
      </c>
      <c r="E262" s="5" t="s">
        <v>514</v>
      </c>
      <c r="F262" s="5" t="s">
        <v>63</v>
      </c>
      <c r="G262" s="5" t="s">
        <v>529</v>
      </c>
      <c r="H262" s="49" t="s">
        <v>211</v>
      </c>
      <c r="I262" s="49"/>
      <c r="J262" s="5"/>
      <c r="K262" s="53"/>
      <c r="L262" s="15"/>
      <c r="M262" s="24"/>
      <c r="N262" s="5" t="s">
        <v>341</v>
      </c>
      <c r="O262" s="5" t="s">
        <v>341</v>
      </c>
      <c r="P262" s="48"/>
      <c r="Q262" s="48" t="s">
        <v>516</v>
      </c>
      <c r="R262" s="48"/>
      <c r="S262" s="48"/>
      <c r="T262" s="49"/>
      <c r="U262" s="49"/>
      <c r="V262" s="5"/>
      <c r="W262" s="5"/>
      <c r="X262" s="5"/>
      <c r="Y262" s="50"/>
      <c r="Z262" s="50"/>
      <c r="AA262" s="50"/>
      <c r="AB262" s="78"/>
      <c r="AC262" s="34"/>
      <c r="AD262" s="34"/>
      <c r="AE262" s="34"/>
      <c r="AF262" s="34">
        <f>Project_List[[#This Row],[Professional Service Agreement (PSA) Amount]]+Project_List[[#This Row],[Engineer''s Est]]+Project_List[[#This Row],[Estimated COA
Engineering / 
Admin]]</f>
        <v>0</v>
      </c>
      <c r="AG262" s="34">
        <f>Project_List[[#This Row],[Professional Service Agreement (PSA) Amount]]+Project_List[[#This Row],[Final Construction Costs]]+Project_List[[#This Row],[Estimated COA
Engineering / 
Admin]]</f>
        <v>0</v>
      </c>
      <c r="AH262" s="34">
        <f>Project_List[[#This Row],[Overall Budget]]-Project_List[[#This Row],[Total Anticipated Costs (PSA+Est+COA Est)]]-Project_List[[#This Row],[Anticipated Costs Unincombered]]</f>
        <v>0</v>
      </c>
      <c r="AI262" s="5"/>
      <c r="AJ262" s="54"/>
      <c r="AK262" s="51"/>
      <c r="AL262" s="5">
        <f>COUNTA(_xlfn.UNIQUE(Project_List[[#This Row],[Project Name]]))</f>
        <v>1</v>
      </c>
    </row>
    <row r="263" spans="1:38" ht="30" x14ac:dyDescent="0.25">
      <c r="A263" s="52" t="s">
        <v>341</v>
      </c>
      <c r="B263" s="5">
        <v>60</v>
      </c>
      <c r="C263" s="5" t="str">
        <f>LOOKUP(Project_List[[#This Row],[Fund No.]],'Code Lookup'!A$9:A$53,'Code Lookup'!B$9:B$53)</f>
        <v>Road Use Tax</v>
      </c>
      <c r="D263" s="5" t="s">
        <v>30</v>
      </c>
      <c r="E263" s="5" t="s">
        <v>530</v>
      </c>
      <c r="F263" s="5" t="s">
        <v>333</v>
      </c>
      <c r="G263" s="5" t="s">
        <v>531</v>
      </c>
      <c r="H263" s="49" t="s">
        <v>211</v>
      </c>
      <c r="I263" s="49">
        <v>125000</v>
      </c>
      <c r="J263" s="5"/>
      <c r="K263" s="53" t="s">
        <v>4</v>
      </c>
      <c r="L263" s="15">
        <v>0</v>
      </c>
      <c r="M263" s="24"/>
      <c r="N263" s="5" t="s">
        <v>341</v>
      </c>
      <c r="O263" s="5" t="s">
        <v>341</v>
      </c>
      <c r="P263" s="48"/>
      <c r="Q263" s="48" t="s">
        <v>516</v>
      </c>
      <c r="R263" s="48"/>
      <c r="S263" s="48"/>
      <c r="T263" s="49"/>
      <c r="U263" s="49"/>
      <c r="V263" s="5"/>
      <c r="W263" s="5"/>
      <c r="X263" s="5"/>
      <c r="Y263" s="50"/>
      <c r="Z263" s="50"/>
      <c r="AA263" s="50"/>
      <c r="AB263" s="78"/>
      <c r="AC263" s="34"/>
      <c r="AD263" s="34"/>
      <c r="AE263" s="34"/>
      <c r="AF263" s="34">
        <f>Project_List[[#This Row],[Professional Service Agreement (PSA) Amount]]+Project_List[[#This Row],[Engineer''s Est]]+Project_List[[#This Row],[Estimated COA
Engineering / 
Admin]]</f>
        <v>0</v>
      </c>
      <c r="AG263" s="34">
        <f>Project_List[[#This Row],[Professional Service Agreement (PSA) Amount]]+Project_List[[#This Row],[Final Construction Costs]]+Project_List[[#This Row],[Estimated COA
Engineering / 
Admin]]</f>
        <v>0</v>
      </c>
      <c r="AH263" s="34">
        <f>Project_List[[#This Row],[Overall Budget]]-Project_List[[#This Row],[Total Anticipated Costs (PSA+Est+COA Est)]]-Project_List[[#This Row],[Anticipated Costs Unincombered]]</f>
        <v>125000</v>
      </c>
      <c r="AI263" s="5"/>
      <c r="AJ263" s="54"/>
      <c r="AK263" s="51"/>
      <c r="AL263" s="5">
        <v>0</v>
      </c>
    </row>
    <row r="264" spans="1:38" ht="30" x14ac:dyDescent="0.25">
      <c r="A264" s="52" t="s">
        <v>341</v>
      </c>
      <c r="B264" s="5">
        <v>510</v>
      </c>
      <c r="C264" s="5" t="str">
        <f>LOOKUP(Project_List[[#This Row],[Fund No.]],'Code Lookup'!A$9:A$53,'Code Lookup'!B$9:B$53)</f>
        <v>Water Utility</v>
      </c>
      <c r="D264" s="5" t="s">
        <v>64</v>
      </c>
      <c r="E264" s="5" t="s">
        <v>509</v>
      </c>
      <c r="F264" s="5" t="s">
        <v>333</v>
      </c>
      <c r="G264" s="5" t="s">
        <v>531</v>
      </c>
      <c r="H264" s="49" t="s">
        <v>211</v>
      </c>
      <c r="I264" s="49">
        <v>75000</v>
      </c>
      <c r="J264" s="5"/>
      <c r="K264" s="53" t="s">
        <v>4</v>
      </c>
      <c r="L264" s="15">
        <v>0</v>
      </c>
      <c r="M264" s="24"/>
      <c r="N264" s="5" t="s">
        <v>341</v>
      </c>
      <c r="O264" s="5" t="s">
        <v>341</v>
      </c>
      <c r="P264" s="48"/>
      <c r="Q264" s="48" t="s">
        <v>516</v>
      </c>
      <c r="R264" s="48"/>
      <c r="S264" s="48"/>
      <c r="T264" s="49"/>
      <c r="U264" s="49"/>
      <c r="V264" s="5"/>
      <c r="W264" s="5"/>
      <c r="X264" s="5"/>
      <c r="Y264" s="50"/>
      <c r="Z264" s="50"/>
      <c r="AA264" s="50"/>
      <c r="AB264" s="78"/>
      <c r="AC264" s="34"/>
      <c r="AD264" s="34"/>
      <c r="AE264" s="34"/>
      <c r="AF264" s="34">
        <f>Project_List[[#This Row],[Professional Service Agreement (PSA) Amount]]+Project_List[[#This Row],[Engineer''s Est]]+Project_List[[#This Row],[Estimated COA
Engineering / 
Admin]]</f>
        <v>0</v>
      </c>
      <c r="AG264" s="34">
        <f>Project_List[[#This Row],[Professional Service Agreement (PSA) Amount]]+Project_List[[#This Row],[Final Construction Costs]]+Project_List[[#This Row],[Estimated COA
Engineering / 
Admin]]</f>
        <v>0</v>
      </c>
      <c r="AH264" s="34">
        <f>Project_List[[#This Row],[Overall Budget]]-Project_List[[#This Row],[Total Anticipated Costs (PSA+Est+COA Est)]]-Project_List[[#This Row],[Anticipated Costs Unincombered]]</f>
        <v>75000</v>
      </c>
      <c r="AI264" s="5"/>
      <c r="AJ264" s="54"/>
      <c r="AK264" s="51"/>
      <c r="AL264" s="5">
        <v>0</v>
      </c>
    </row>
    <row r="265" spans="1:38" ht="30" x14ac:dyDescent="0.25">
      <c r="A265" s="52" t="s">
        <v>341</v>
      </c>
      <c r="B265" s="5">
        <v>391</v>
      </c>
      <c r="C265" s="5" t="str">
        <f>LOOKUP(Project_List[[#This Row],[Fund No.]],'Code Lookup'!A$9:A$53,'Code Lookup'!B$9:B$53)</f>
        <v>2030/31 GO Bonds</v>
      </c>
      <c r="D265" s="5" t="s">
        <v>30</v>
      </c>
      <c r="E265" s="5" t="s">
        <v>514</v>
      </c>
      <c r="F265" s="5" t="s">
        <v>316</v>
      </c>
      <c r="G265" s="5" t="s">
        <v>535</v>
      </c>
      <c r="H265" s="49" t="s">
        <v>211</v>
      </c>
      <c r="I265" s="49"/>
      <c r="J265" s="5"/>
      <c r="K265" s="53"/>
      <c r="L265" s="15"/>
      <c r="M265" s="24"/>
      <c r="N265" s="5" t="s">
        <v>341</v>
      </c>
      <c r="O265" s="5" t="s">
        <v>341</v>
      </c>
      <c r="P265" s="48"/>
      <c r="Q265" s="48" t="s">
        <v>516</v>
      </c>
      <c r="R265" s="48"/>
      <c r="S265" s="48"/>
      <c r="T265" s="49"/>
      <c r="U265" s="49"/>
      <c r="V265" s="5"/>
      <c r="W265" s="5"/>
      <c r="X265" s="5"/>
      <c r="Y265" s="50"/>
      <c r="Z265" s="50"/>
      <c r="AA265" s="50"/>
      <c r="AB265" s="78"/>
      <c r="AC265" s="34"/>
      <c r="AD265" s="34"/>
      <c r="AE265" s="34"/>
      <c r="AF265" s="34">
        <f>Project_List[[#This Row],[Professional Service Agreement (PSA) Amount]]+Project_List[[#This Row],[Engineer''s Est]]+Project_List[[#This Row],[Estimated COA
Engineering / 
Admin]]</f>
        <v>0</v>
      </c>
      <c r="AG265" s="34">
        <f>Project_List[[#This Row],[Professional Service Agreement (PSA) Amount]]+Project_List[[#This Row],[Final Construction Costs]]+Project_List[[#This Row],[Estimated COA
Engineering / 
Admin]]</f>
        <v>0</v>
      </c>
      <c r="AH265" s="34">
        <f>Project_List[[#This Row],[Overall Budget]]-Project_List[[#This Row],[Total Anticipated Costs (PSA+Est+COA Est)]]-Project_List[[#This Row],[Anticipated Costs Unincombered]]</f>
        <v>0</v>
      </c>
      <c r="AI265" s="5"/>
      <c r="AJ265" s="54"/>
      <c r="AK265" s="51"/>
      <c r="AL265" s="5">
        <f>COUNTA(_xlfn.UNIQUE(Project_List[[#This Row],[Project Name]]))</f>
        <v>1</v>
      </c>
    </row>
    <row r="266" spans="1:38" ht="45" x14ac:dyDescent="0.25">
      <c r="A266" s="52" t="s">
        <v>516</v>
      </c>
      <c r="B266" s="5">
        <v>520</v>
      </c>
      <c r="C266" s="5" t="str">
        <f>LOOKUP(Project_List[[#This Row],[Fund No.]],'Code Lookup'!A$9:A$53,'Code Lookup'!B$9:B$53)</f>
        <v>Sewer Utility</v>
      </c>
      <c r="D266" s="5" t="s">
        <v>322</v>
      </c>
      <c r="E266" s="5" t="s">
        <v>510</v>
      </c>
      <c r="F266" s="5" t="s">
        <v>133</v>
      </c>
      <c r="G266" s="5" t="s">
        <v>540</v>
      </c>
      <c r="H266" s="49" t="s">
        <v>211</v>
      </c>
      <c r="I266" s="49">
        <f>70000+130000</f>
        <v>200000</v>
      </c>
      <c r="J266" s="5"/>
      <c r="K266" s="53"/>
      <c r="L266" s="15"/>
      <c r="M266" s="24"/>
      <c r="N266" s="5" t="s">
        <v>516</v>
      </c>
      <c r="O266" s="5" t="s">
        <v>516</v>
      </c>
      <c r="P266" s="48"/>
      <c r="Q266" s="48" t="s">
        <v>517</v>
      </c>
      <c r="R266" s="48"/>
      <c r="S266" s="48"/>
      <c r="T266" s="49"/>
      <c r="U266" s="49"/>
      <c r="V266" s="5"/>
      <c r="W266" s="5"/>
      <c r="X266" s="5"/>
      <c r="Y266" s="50"/>
      <c r="Z266" s="50"/>
      <c r="AA266" s="50"/>
      <c r="AB266" s="78"/>
      <c r="AC266" s="34"/>
      <c r="AD266" s="34"/>
      <c r="AE266" s="34"/>
      <c r="AF266" s="34">
        <f>Project_List[[#This Row],[Professional Service Agreement (PSA) Amount]]+Project_List[[#This Row],[Engineer''s Est]]+Project_List[[#This Row],[Estimated COA
Engineering / 
Admin]]</f>
        <v>0</v>
      </c>
      <c r="AG266" s="34">
        <f>Project_List[[#This Row],[Professional Service Agreement (PSA) Amount]]+Project_List[[#This Row],[Final Construction Costs]]+Project_List[[#This Row],[Estimated COA
Engineering / 
Admin]]</f>
        <v>0</v>
      </c>
      <c r="AH266" s="34">
        <f>Project_List[[#This Row],[Overall Budget]]-Project_List[[#This Row],[Total Anticipated Costs (PSA+Est+COA Est)]]-Project_List[[#This Row],[Anticipated Costs Unincombered]]</f>
        <v>200000</v>
      </c>
      <c r="AI266" s="5"/>
      <c r="AJ266" s="54"/>
      <c r="AK266" s="51"/>
      <c r="AL266" s="5"/>
    </row>
    <row r="267" spans="1:38" ht="30" x14ac:dyDescent="0.25">
      <c r="A267" s="52" t="s">
        <v>516</v>
      </c>
      <c r="B267" s="5">
        <v>392</v>
      </c>
      <c r="C267" s="5" t="str">
        <f>LOOKUP(Project_List[[#This Row],[Fund No.]],'Code Lookup'!A$9:A$53,'Code Lookup'!B$9:B$53)</f>
        <v>2031/32 GO Bonds</v>
      </c>
      <c r="D267" s="5" t="s">
        <v>30</v>
      </c>
      <c r="E267" s="5" t="s">
        <v>527</v>
      </c>
      <c r="F267" s="5" t="s">
        <v>321</v>
      </c>
      <c r="G267" s="5" t="s">
        <v>523</v>
      </c>
      <c r="H267" s="49" t="s">
        <v>211</v>
      </c>
      <c r="I267" s="49">
        <v>400000</v>
      </c>
      <c r="J267" s="5"/>
      <c r="K267" s="53"/>
      <c r="L267" s="15"/>
      <c r="M267" s="24"/>
      <c r="N267" s="5" t="s">
        <v>516</v>
      </c>
      <c r="O267" s="5" t="s">
        <v>516</v>
      </c>
      <c r="P267" s="48"/>
      <c r="Q267" s="48" t="s">
        <v>517</v>
      </c>
      <c r="R267" s="48"/>
      <c r="S267" s="48"/>
      <c r="T267" s="49"/>
      <c r="U267" s="49"/>
      <c r="V267" s="5"/>
      <c r="W267" s="5"/>
      <c r="X267" s="5"/>
      <c r="Y267" s="50"/>
      <c r="Z267" s="50"/>
      <c r="AA267" s="50"/>
      <c r="AB267" s="78"/>
      <c r="AC267" s="34"/>
      <c r="AD267" s="34"/>
      <c r="AE267" s="34"/>
      <c r="AF267" s="34">
        <f>Project_List[[#This Row],[Professional Service Agreement (PSA) Amount]]+Project_List[[#This Row],[Engineer''s Est]]+Project_List[[#This Row],[Estimated COA
Engineering / 
Admin]]</f>
        <v>0</v>
      </c>
      <c r="AG267" s="34">
        <f>Project_List[[#This Row],[Professional Service Agreement (PSA) Amount]]+Project_List[[#This Row],[Final Construction Costs]]+Project_List[[#This Row],[Estimated COA
Engineering / 
Admin]]</f>
        <v>0</v>
      </c>
      <c r="AH267" s="34">
        <f>Project_List[[#This Row],[Overall Budget]]-Project_List[[#This Row],[Total Anticipated Costs (PSA+Est+COA Est)]]-Project_List[[#This Row],[Anticipated Costs Unincombered]]</f>
        <v>400000</v>
      </c>
      <c r="AI267" s="5"/>
      <c r="AJ267" s="54"/>
      <c r="AK267" s="51"/>
      <c r="AL267" s="5">
        <f>COUNTA(_xlfn.UNIQUE(Project_List[[#This Row],[Project Name]]))</f>
        <v>1</v>
      </c>
    </row>
    <row r="268" spans="1:38" ht="30" x14ac:dyDescent="0.25">
      <c r="A268" s="52" t="s">
        <v>516</v>
      </c>
      <c r="B268" s="5">
        <v>392</v>
      </c>
      <c r="C268" s="5" t="str">
        <f>LOOKUP(Project_List[[#This Row],[Fund No.]],'Code Lookup'!A$9:A$53,'Code Lookup'!B$9:B$53)</f>
        <v>2031/32 GO Bonds</v>
      </c>
      <c r="D268" s="5" t="s">
        <v>30</v>
      </c>
      <c r="E268" s="5" t="s">
        <v>527</v>
      </c>
      <c r="F268" s="5" t="s">
        <v>61</v>
      </c>
      <c r="G268" s="5" t="s">
        <v>528</v>
      </c>
      <c r="H268" s="49" t="s">
        <v>211</v>
      </c>
      <c r="I268" s="49">
        <v>520000</v>
      </c>
      <c r="J268" s="5"/>
      <c r="K268" s="53"/>
      <c r="L268" s="15"/>
      <c r="M268" s="24"/>
      <c r="N268" s="5" t="s">
        <v>516</v>
      </c>
      <c r="O268" s="5" t="s">
        <v>516</v>
      </c>
      <c r="P268" s="48"/>
      <c r="Q268" s="48" t="s">
        <v>517</v>
      </c>
      <c r="R268" s="48"/>
      <c r="S268" s="48"/>
      <c r="T268" s="49"/>
      <c r="U268" s="49"/>
      <c r="V268" s="5"/>
      <c r="W268" s="5"/>
      <c r="X268" s="5"/>
      <c r="Y268" s="50"/>
      <c r="Z268" s="50"/>
      <c r="AA268" s="50"/>
      <c r="AB268" s="78"/>
      <c r="AC268" s="34"/>
      <c r="AD268" s="34"/>
      <c r="AE268" s="34"/>
      <c r="AF268" s="34">
        <f>Project_List[[#This Row],[Professional Service Agreement (PSA) Amount]]+Project_List[[#This Row],[Engineer''s Est]]+Project_List[[#This Row],[Estimated COA
Engineering / 
Admin]]</f>
        <v>0</v>
      </c>
      <c r="AG268" s="34">
        <f>Project_List[[#This Row],[Professional Service Agreement (PSA) Amount]]+Project_List[[#This Row],[Final Construction Costs]]+Project_List[[#This Row],[Estimated COA
Engineering / 
Admin]]</f>
        <v>0</v>
      </c>
      <c r="AH268" s="34">
        <f>Project_List[[#This Row],[Overall Budget]]-Project_List[[#This Row],[Total Anticipated Costs (PSA+Est+COA Est)]]-Project_List[[#This Row],[Anticipated Costs Unincombered]]</f>
        <v>520000</v>
      </c>
      <c r="AI268" s="5"/>
      <c r="AJ268" s="54"/>
      <c r="AK268" s="51"/>
      <c r="AL268" s="5">
        <f>COUNTA(_xlfn.UNIQUE(Project_List[[#This Row],[Project Name]]))</f>
        <v>1</v>
      </c>
    </row>
    <row r="269" spans="1:38" ht="30" x14ac:dyDescent="0.25">
      <c r="A269" s="52" t="s">
        <v>516</v>
      </c>
      <c r="B269" s="5">
        <v>320</v>
      </c>
      <c r="C269" s="5" t="str">
        <f>LOOKUP(Project_List[[#This Row],[Fund No.]],'Code Lookup'!A$9:A$53,'Code Lookup'!B$9:B$53)</f>
        <v>Street Construction</v>
      </c>
      <c r="D269" s="5" t="s">
        <v>30</v>
      </c>
      <c r="E269" s="5" t="s">
        <v>507</v>
      </c>
      <c r="F269" s="5" t="s">
        <v>61</v>
      </c>
      <c r="G269" s="5" t="s">
        <v>528</v>
      </c>
      <c r="H269" s="49" t="s">
        <v>211</v>
      </c>
      <c r="I269" s="49">
        <v>2080000</v>
      </c>
      <c r="J269" s="5"/>
      <c r="K269" s="53"/>
      <c r="L269" s="15"/>
      <c r="M269" s="24"/>
      <c r="N269" s="5" t="s">
        <v>516</v>
      </c>
      <c r="O269" s="5" t="s">
        <v>516</v>
      </c>
      <c r="P269" s="48"/>
      <c r="Q269" s="48" t="s">
        <v>517</v>
      </c>
      <c r="R269" s="48"/>
      <c r="S269" s="48"/>
      <c r="T269" s="49"/>
      <c r="U269" s="49"/>
      <c r="V269" s="5"/>
      <c r="W269" s="5"/>
      <c r="X269" s="5"/>
      <c r="Y269" s="50"/>
      <c r="Z269" s="50"/>
      <c r="AA269" s="50"/>
      <c r="AB269" s="78"/>
      <c r="AC269" s="34"/>
      <c r="AD269" s="34"/>
      <c r="AE269" s="34"/>
      <c r="AF269" s="34">
        <f>Project_List[[#This Row],[Professional Service Agreement (PSA) Amount]]+Project_List[[#This Row],[Engineer''s Est]]+Project_List[[#This Row],[Estimated COA
Engineering / 
Admin]]</f>
        <v>0</v>
      </c>
      <c r="AG269" s="34">
        <f>Project_List[[#This Row],[Professional Service Agreement (PSA) Amount]]+Project_List[[#This Row],[Final Construction Costs]]+Project_List[[#This Row],[Estimated COA
Engineering / 
Admin]]</f>
        <v>0</v>
      </c>
      <c r="AH269" s="34">
        <f>Project_List[[#This Row],[Overall Budget]]-Project_List[[#This Row],[Total Anticipated Costs (PSA+Est+COA Est)]]-Project_List[[#This Row],[Anticipated Costs Unincombered]]</f>
        <v>2080000</v>
      </c>
      <c r="AI269" s="5"/>
      <c r="AJ269" s="54"/>
      <c r="AK269" s="51"/>
      <c r="AL269" s="5">
        <f>COUNTA(_xlfn.UNIQUE(Project_List[[#This Row],[Project Name]]))</f>
        <v>1</v>
      </c>
    </row>
    <row r="270" spans="1:38" ht="45" x14ac:dyDescent="0.25">
      <c r="A270" s="52" t="s">
        <v>516</v>
      </c>
      <c r="B270" s="5">
        <v>392</v>
      </c>
      <c r="C270" s="5" t="str">
        <f>LOOKUP(Project_List[[#This Row],[Fund No.]],'Code Lookup'!A$9:A$53,'Code Lookup'!B$9:B$53)</f>
        <v>2031/32 GO Bonds</v>
      </c>
      <c r="D270" s="5" t="s">
        <v>30</v>
      </c>
      <c r="E270" s="5" t="s">
        <v>527</v>
      </c>
      <c r="F270" s="5" t="s">
        <v>60</v>
      </c>
      <c r="G270" s="5" t="s">
        <v>540</v>
      </c>
      <c r="H270" s="49" t="s">
        <v>211</v>
      </c>
      <c r="I270" s="49">
        <f>450000+750000+2200000</f>
        <v>3400000</v>
      </c>
      <c r="J270" s="5"/>
      <c r="K270" s="53"/>
      <c r="L270" s="15"/>
      <c r="M270" s="24"/>
      <c r="N270" s="5" t="s">
        <v>516</v>
      </c>
      <c r="O270" s="5" t="s">
        <v>516</v>
      </c>
      <c r="P270" s="48"/>
      <c r="Q270" s="48" t="s">
        <v>517</v>
      </c>
      <c r="R270" s="48"/>
      <c r="S270" s="48"/>
      <c r="T270" s="49"/>
      <c r="U270" s="49"/>
      <c r="V270" s="5"/>
      <c r="W270" s="5"/>
      <c r="X270" s="5"/>
      <c r="Y270" s="50"/>
      <c r="Z270" s="50"/>
      <c r="AA270" s="50"/>
      <c r="AB270" s="78"/>
      <c r="AC270" s="34"/>
      <c r="AD270" s="34"/>
      <c r="AE270" s="34"/>
      <c r="AF270" s="34">
        <f>Project_List[[#This Row],[Professional Service Agreement (PSA) Amount]]+Project_List[[#This Row],[Engineer''s Est]]+Project_List[[#This Row],[Estimated COA
Engineering / 
Admin]]</f>
        <v>0</v>
      </c>
      <c r="AG270" s="34">
        <f>Project_List[[#This Row],[Professional Service Agreement (PSA) Amount]]+Project_List[[#This Row],[Final Construction Costs]]+Project_List[[#This Row],[Estimated COA
Engineering / 
Admin]]</f>
        <v>0</v>
      </c>
      <c r="AH270" s="34">
        <f>Project_List[[#This Row],[Overall Budget]]-Project_List[[#This Row],[Total Anticipated Costs (PSA+Est+COA Est)]]-Project_List[[#This Row],[Anticipated Costs Unincombered]]</f>
        <v>3400000</v>
      </c>
      <c r="AI270" s="5"/>
      <c r="AJ270" s="54"/>
      <c r="AK270" s="51"/>
      <c r="AL270" s="5">
        <f>COUNTA(_xlfn.UNIQUE(Project_List[[#This Row],[Project Name]]))</f>
        <v>1</v>
      </c>
    </row>
    <row r="271" spans="1:38" ht="45" x14ac:dyDescent="0.25">
      <c r="A271" s="52" t="s">
        <v>516</v>
      </c>
      <c r="B271" s="5">
        <v>510</v>
      </c>
      <c r="C271" s="5" t="str">
        <f>LOOKUP(Project_List[[#This Row],[Fund No.]],'Code Lookup'!A$9:A$53,'Code Lookup'!B$9:B$53)</f>
        <v>Water Utility</v>
      </c>
      <c r="D271" s="5" t="s">
        <v>64</v>
      </c>
      <c r="E271" s="5" t="s">
        <v>509</v>
      </c>
      <c r="F271" s="5" t="s">
        <v>90</v>
      </c>
      <c r="G271" s="5" t="s">
        <v>540</v>
      </c>
      <c r="H271" s="49" t="s">
        <v>211</v>
      </c>
      <c r="I271" s="49">
        <v>200000</v>
      </c>
      <c r="J271" s="5"/>
      <c r="K271" s="53"/>
      <c r="L271" s="15"/>
      <c r="M271" s="24"/>
      <c r="N271" s="5" t="s">
        <v>516</v>
      </c>
      <c r="O271" s="5" t="s">
        <v>516</v>
      </c>
      <c r="P271" s="48"/>
      <c r="Q271" s="48" t="s">
        <v>517</v>
      </c>
      <c r="R271" s="48"/>
      <c r="S271" s="48"/>
      <c r="T271" s="49"/>
      <c r="U271" s="49"/>
      <c r="V271" s="5"/>
      <c r="W271" s="5"/>
      <c r="X271" s="5"/>
      <c r="Y271" s="50"/>
      <c r="Z271" s="50"/>
      <c r="AA271" s="50"/>
      <c r="AB271" s="78"/>
      <c r="AC271" s="34"/>
      <c r="AD271" s="34"/>
      <c r="AE271" s="34"/>
      <c r="AF271" s="34">
        <f>Project_List[[#This Row],[Professional Service Agreement (PSA) Amount]]+Project_List[[#This Row],[Engineer''s Est]]+Project_List[[#This Row],[Estimated COA
Engineering / 
Admin]]</f>
        <v>0</v>
      </c>
      <c r="AG271" s="34">
        <f>Project_List[[#This Row],[Professional Service Agreement (PSA) Amount]]+Project_List[[#This Row],[Final Construction Costs]]+Project_List[[#This Row],[Estimated COA
Engineering / 
Admin]]</f>
        <v>0</v>
      </c>
      <c r="AH271" s="34">
        <f>Project_List[[#This Row],[Overall Budget]]-Project_List[[#This Row],[Total Anticipated Costs (PSA+Est+COA Est)]]-Project_List[[#This Row],[Anticipated Costs Unincombered]]</f>
        <v>200000</v>
      </c>
      <c r="AI271" s="5"/>
      <c r="AJ271" s="54"/>
      <c r="AK271" s="51"/>
      <c r="AL271" s="5"/>
    </row>
    <row r="272" spans="1:38" ht="30" x14ac:dyDescent="0.25">
      <c r="A272" s="52" t="s">
        <v>517</v>
      </c>
      <c r="B272" s="5">
        <v>393</v>
      </c>
      <c r="C272" s="5" t="str">
        <f>LOOKUP(Project_List[[#This Row],[Fund No.]],'Code Lookup'!A$9:A$53,'Code Lookup'!B$9:B$53)</f>
        <v>2032/33 GO Bonds</v>
      </c>
      <c r="D272" s="5" t="s">
        <v>30</v>
      </c>
      <c r="E272" s="5"/>
      <c r="F272" s="5" t="s">
        <v>321</v>
      </c>
      <c r="G272" s="5" t="s">
        <v>522</v>
      </c>
      <c r="H272" s="49" t="s">
        <v>211</v>
      </c>
      <c r="I272" s="49">
        <v>400000</v>
      </c>
      <c r="J272" s="5"/>
      <c r="K272" s="53"/>
      <c r="L272" s="15"/>
      <c r="M272" s="24"/>
      <c r="N272" s="5" t="s">
        <v>517</v>
      </c>
      <c r="O272" s="5" t="s">
        <v>517</v>
      </c>
      <c r="P272" s="48"/>
      <c r="Q272" s="48" t="s">
        <v>580</v>
      </c>
      <c r="R272" s="48"/>
      <c r="S272" s="48"/>
      <c r="T272" s="49"/>
      <c r="U272" s="49"/>
      <c r="V272" s="5"/>
      <c r="W272" s="5"/>
      <c r="X272" s="5"/>
      <c r="Y272" s="50"/>
      <c r="Z272" s="50"/>
      <c r="AA272" s="50"/>
      <c r="AB272" s="78"/>
      <c r="AC272" s="34"/>
      <c r="AD272" s="34"/>
      <c r="AE272" s="34"/>
      <c r="AF272" s="34">
        <f>Project_List[[#This Row],[Professional Service Agreement (PSA) Amount]]+Project_List[[#This Row],[Engineer''s Est]]+Project_List[[#This Row],[Estimated COA
Engineering / 
Admin]]</f>
        <v>0</v>
      </c>
      <c r="AG272" s="34">
        <f>Project_List[[#This Row],[Professional Service Agreement (PSA) Amount]]+Project_List[[#This Row],[Final Construction Costs]]+Project_List[[#This Row],[Estimated COA
Engineering / 
Admin]]</f>
        <v>0</v>
      </c>
      <c r="AH272" s="34">
        <f>Project_List[[#This Row],[Overall Budget]]-Project_List[[#This Row],[Total Anticipated Costs (PSA+Est+COA Est)]]-Project_List[[#This Row],[Anticipated Costs Unincombered]]</f>
        <v>400000</v>
      </c>
      <c r="AI272" s="5"/>
      <c r="AJ272" s="54"/>
      <c r="AK272" s="51"/>
      <c r="AL272" s="5">
        <f>COUNTA(_xlfn.UNIQUE(Project_List[[#This Row],[Project Name]]))</f>
        <v>1</v>
      </c>
    </row>
    <row r="273" spans="1:38" ht="30" x14ac:dyDescent="0.25">
      <c r="A273" s="52" t="s">
        <v>273</v>
      </c>
      <c r="B273" s="5">
        <v>386</v>
      </c>
      <c r="C273" s="5" t="str">
        <f>LOOKUP(Project_List[[#This Row],[Fund No.]],'Code Lookup'!A$9:A$53,'Code Lookup'!B$9:B$53)</f>
        <v>2025/26 GO Bonds</v>
      </c>
      <c r="D273" s="5" t="s">
        <v>30</v>
      </c>
      <c r="E273" s="5" t="s">
        <v>587</v>
      </c>
      <c r="F273" s="5" t="s">
        <v>60</v>
      </c>
      <c r="G273" s="5" t="s">
        <v>582</v>
      </c>
      <c r="H273" s="49" t="s">
        <v>36</v>
      </c>
      <c r="I273" s="49">
        <v>1250000</v>
      </c>
      <c r="J273" s="5"/>
      <c r="K273" s="53" t="s">
        <v>16</v>
      </c>
      <c r="L273" s="15">
        <v>0</v>
      </c>
      <c r="M273" s="24">
        <v>0</v>
      </c>
      <c r="N273" s="5" t="s">
        <v>273</v>
      </c>
      <c r="O273" s="5" t="s">
        <v>273</v>
      </c>
      <c r="P273" s="48"/>
      <c r="Q273" s="48"/>
      <c r="R273" s="48" t="s">
        <v>258</v>
      </c>
      <c r="S273" s="48">
        <v>46568</v>
      </c>
      <c r="T273" s="49"/>
      <c r="U273" s="49" t="s">
        <v>4</v>
      </c>
      <c r="V273" s="5"/>
      <c r="W273" s="5" t="s">
        <v>10</v>
      </c>
      <c r="X273" s="5" t="s">
        <v>10</v>
      </c>
      <c r="Y273" s="50">
        <v>1085116.6000000001</v>
      </c>
      <c r="Z273" s="50"/>
      <c r="AA273" s="50"/>
      <c r="AB273" s="78"/>
      <c r="AC273" s="34"/>
      <c r="AD273" s="34">
        <v>150000</v>
      </c>
      <c r="AE273" s="34"/>
      <c r="AF273" s="34">
        <f>Project_List[[#This Row],[Professional Service Agreement (PSA) Amount]]+Project_List[[#This Row],[Engineer''s Est]]+Project_List[[#This Row],[Estimated COA
Engineering / 
Admin]]</f>
        <v>1235116.6000000001</v>
      </c>
      <c r="AG273" s="34">
        <f>Project_List[[#This Row],[Professional Service Agreement (PSA) Amount]]+Project_List[[#This Row],[Final Construction Costs]]+Project_List[[#This Row],[Estimated COA
Engineering / 
Admin]]</f>
        <v>150000</v>
      </c>
      <c r="AH273" s="34">
        <f>Project_List[[#This Row],[Overall Budget]]-Project_List[[#This Row],[Total Anticipated Costs (PSA+Est+COA Est)]]-Project_List[[#This Row],[Anticipated Costs Unincombered]]</f>
        <v>14883.399999999907</v>
      </c>
      <c r="AI273" s="5"/>
      <c r="AJ273" s="54"/>
      <c r="AK273" s="51"/>
      <c r="AL273" s="5">
        <f>COUNTA(_xlfn.UNIQUE(Project_List[[#This Row],[Project Name]]))</f>
        <v>1</v>
      </c>
    </row>
    <row r="280" spans="1:38" x14ac:dyDescent="0.25">
      <c r="AC280" s="23"/>
    </row>
  </sheetData>
  <phoneticPr fontId="11" type="noConversion"/>
  <pageMargins left="0.7" right="0.7" top="0.75" bottom="0.75" header="0.3" footer="0.3"/>
  <pageSetup scale="17" fitToHeight="0" orientation="landscape" r:id="rId1"/>
  <legacy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71BCD-0CCF-48A8-8BAA-27A6124460C7}">
  <dimension ref="A1:H11"/>
  <sheetViews>
    <sheetView workbookViewId="0">
      <selection activeCell="B8" sqref="B8"/>
    </sheetView>
  </sheetViews>
  <sheetFormatPr defaultRowHeight="15" x14ac:dyDescent="0.25"/>
  <cols>
    <col min="1" max="1" width="40" bestFit="1" customWidth="1"/>
    <col min="2" max="2" width="23.140625" bestFit="1" customWidth="1"/>
    <col min="3" max="3" width="20.7109375" bestFit="1" customWidth="1"/>
    <col min="4" max="4" width="18.28515625" bestFit="1" customWidth="1"/>
    <col min="5" max="5" width="30.7109375" bestFit="1" customWidth="1"/>
    <col min="6" max="6" width="34.42578125" bestFit="1" customWidth="1"/>
    <col min="7" max="7" width="26.42578125" customWidth="1"/>
    <col min="8" max="8" width="19.28515625" bestFit="1" customWidth="1"/>
    <col min="9" max="9" width="17.85546875" bestFit="1" customWidth="1"/>
    <col min="10" max="10" width="12.140625" bestFit="1" customWidth="1"/>
  </cols>
  <sheetData>
    <row r="1" spans="1:8" x14ac:dyDescent="0.25">
      <c r="A1" s="10" t="s">
        <v>47</v>
      </c>
      <c r="B1" t="s">
        <v>338</v>
      </c>
      <c r="E1" t="s">
        <v>82</v>
      </c>
      <c r="F1" t="s">
        <v>388</v>
      </c>
      <c r="G1" t="s">
        <v>387</v>
      </c>
      <c r="H1" t="s">
        <v>35</v>
      </c>
    </row>
    <row r="2" spans="1:8" x14ac:dyDescent="0.25">
      <c r="A2" s="10" t="s">
        <v>89</v>
      </c>
      <c r="B2" t="s">
        <v>126</v>
      </c>
      <c r="G2" s="55"/>
      <c r="H2" t="s">
        <v>389</v>
      </c>
    </row>
    <row r="4" spans="1:8" x14ac:dyDescent="0.25">
      <c r="A4" s="10" t="s">
        <v>330</v>
      </c>
      <c r="B4" t="s">
        <v>331</v>
      </c>
      <c r="C4" t="s">
        <v>246</v>
      </c>
      <c r="D4" t="s">
        <v>247</v>
      </c>
      <c r="E4" t="s">
        <v>248</v>
      </c>
    </row>
    <row r="5" spans="1:8" x14ac:dyDescent="0.25">
      <c r="A5" s="3" t="s">
        <v>125</v>
      </c>
      <c r="B5" s="26">
        <v>654121</v>
      </c>
      <c r="C5" s="26">
        <v>702275</v>
      </c>
      <c r="D5" s="26">
        <v>551057.69999999995</v>
      </c>
      <c r="E5" s="26">
        <v>542759.19999999995</v>
      </c>
    </row>
    <row r="6" spans="1:8" x14ac:dyDescent="0.25">
      <c r="A6" s="11" t="s">
        <v>346</v>
      </c>
      <c r="B6" s="26">
        <v>654121</v>
      </c>
      <c r="C6" s="26">
        <v>702275</v>
      </c>
      <c r="D6" s="26">
        <v>551057.69999999995</v>
      </c>
      <c r="E6" s="26">
        <v>542759.19999999995</v>
      </c>
    </row>
    <row r="7" spans="1:8" x14ac:dyDescent="0.25">
      <c r="A7" s="25">
        <v>63957</v>
      </c>
      <c r="B7" s="26">
        <v>654121</v>
      </c>
      <c r="C7" s="26">
        <v>702275</v>
      </c>
      <c r="D7" s="26">
        <v>551057.69999999995</v>
      </c>
      <c r="E7" s="26">
        <v>542759.19999999995</v>
      </c>
    </row>
    <row r="8" spans="1:8" x14ac:dyDescent="0.25">
      <c r="A8" s="3" t="s">
        <v>573</v>
      </c>
      <c r="B8" s="26">
        <v>2300000</v>
      </c>
      <c r="C8" s="26">
        <v>2833264.5</v>
      </c>
      <c r="D8" s="26">
        <v>2125500</v>
      </c>
      <c r="E8" s="26">
        <v>2282092.96</v>
      </c>
    </row>
    <row r="9" spans="1:8" x14ac:dyDescent="0.25">
      <c r="A9" s="11" t="s">
        <v>438</v>
      </c>
      <c r="B9" s="26">
        <v>2300000</v>
      </c>
      <c r="C9" s="26">
        <v>2833264.5</v>
      </c>
      <c r="D9" s="26">
        <v>2125500</v>
      </c>
      <c r="E9" s="26">
        <v>2282092.96</v>
      </c>
    </row>
    <row r="10" spans="1:8" x14ac:dyDescent="0.25">
      <c r="A10" s="25">
        <v>62500</v>
      </c>
      <c r="B10" s="26">
        <v>2300000</v>
      </c>
      <c r="C10" s="26">
        <v>2833264.5</v>
      </c>
      <c r="D10" s="26">
        <v>2125500</v>
      </c>
      <c r="E10" s="26">
        <v>2282092.96</v>
      </c>
    </row>
    <row r="11" spans="1:8" x14ac:dyDescent="0.25">
      <c r="A11" s="3" t="s">
        <v>245</v>
      </c>
      <c r="B11" s="26">
        <v>2954121</v>
      </c>
      <c r="C11" s="26">
        <v>3535539.5</v>
      </c>
      <c r="D11" s="26">
        <v>2676557.7000000002</v>
      </c>
      <c r="E11" s="26">
        <v>2824852.16</v>
      </c>
    </row>
  </sheetData>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BA28E-8042-4599-8FF8-ABAEEA108FDD}">
  <dimension ref="A1:M63"/>
  <sheetViews>
    <sheetView workbookViewId="0">
      <selection activeCell="A22" sqref="A22"/>
    </sheetView>
  </sheetViews>
  <sheetFormatPr defaultRowHeight="15" x14ac:dyDescent="0.25"/>
  <cols>
    <col min="1" max="1" width="187.7109375" bestFit="1" customWidth="1"/>
    <col min="2" max="2" width="21.140625" bestFit="1" customWidth="1"/>
    <col min="3" max="3" width="20.7109375" bestFit="1" customWidth="1"/>
    <col min="4" max="4" width="18.28515625" bestFit="1" customWidth="1"/>
    <col min="5" max="5" width="30.7109375" bestFit="1" customWidth="1"/>
    <col min="6" max="6" width="38.42578125" bestFit="1" customWidth="1"/>
    <col min="7" max="7" width="26.42578125" customWidth="1"/>
    <col min="8" max="8" width="46.28515625" customWidth="1"/>
    <col min="9" max="9" width="17.85546875" bestFit="1" customWidth="1"/>
    <col min="10" max="10" width="12.140625" bestFit="1" customWidth="1"/>
    <col min="11" max="11" width="16" customWidth="1"/>
    <col min="12" max="12" width="22.140625" customWidth="1"/>
  </cols>
  <sheetData>
    <row r="1" spans="1:13" x14ac:dyDescent="0.25">
      <c r="A1" s="10" t="s">
        <v>47</v>
      </c>
      <c r="B1" t="s">
        <v>338</v>
      </c>
      <c r="E1" t="s">
        <v>82</v>
      </c>
      <c r="F1" t="s">
        <v>388</v>
      </c>
      <c r="G1" t="s">
        <v>477</v>
      </c>
      <c r="H1" t="s">
        <v>35</v>
      </c>
      <c r="J1" t="s">
        <v>82</v>
      </c>
      <c r="K1" t="s">
        <v>388</v>
      </c>
      <c r="L1" t="s">
        <v>387</v>
      </c>
      <c r="M1" t="s">
        <v>35</v>
      </c>
    </row>
    <row r="2" spans="1:13" x14ac:dyDescent="0.25">
      <c r="A2" s="10" t="s">
        <v>89</v>
      </c>
      <c r="B2" t="s">
        <v>338</v>
      </c>
      <c r="E2">
        <v>560</v>
      </c>
      <c r="F2" t="s">
        <v>403</v>
      </c>
      <c r="G2" s="55">
        <f>1130226+151451+2725</f>
        <v>1284402</v>
      </c>
      <c r="H2" t="s">
        <v>389</v>
      </c>
      <c r="J2">
        <v>560</v>
      </c>
      <c r="K2" t="s">
        <v>406</v>
      </c>
      <c r="L2" s="55">
        <v>173477</v>
      </c>
      <c r="M2" t="s">
        <v>389</v>
      </c>
    </row>
    <row r="3" spans="1:13" x14ac:dyDescent="0.25">
      <c r="G3" s="55"/>
    </row>
    <row r="4" spans="1:13" x14ac:dyDescent="0.25">
      <c r="A4" s="10" t="s">
        <v>330</v>
      </c>
      <c r="B4" t="s">
        <v>331</v>
      </c>
      <c r="C4" t="s">
        <v>246</v>
      </c>
      <c r="D4" t="s">
        <v>247</v>
      </c>
      <c r="E4" t="s">
        <v>248</v>
      </c>
      <c r="F4" t="s">
        <v>459</v>
      </c>
      <c r="G4" s="55"/>
    </row>
    <row r="5" spans="1:13" x14ac:dyDescent="0.25">
      <c r="A5" s="3" t="s">
        <v>308</v>
      </c>
      <c r="B5" s="26">
        <v>100000</v>
      </c>
      <c r="C5" s="26"/>
      <c r="D5" s="26"/>
      <c r="E5" s="26"/>
      <c r="F5" s="26"/>
      <c r="G5" s="55"/>
      <c r="L5" s="55">
        <f>GETPIVOTDATA("Sum of Overall Budget",$A$4,"Account #","560-8601-489")</f>
        <v>100000</v>
      </c>
      <c r="M5" t="s">
        <v>479</v>
      </c>
    </row>
    <row r="6" spans="1:13" x14ac:dyDescent="0.25">
      <c r="A6" s="11" t="s">
        <v>577</v>
      </c>
      <c r="B6" s="26">
        <v>100000</v>
      </c>
      <c r="C6" s="26"/>
      <c r="D6" s="26"/>
      <c r="E6" s="26"/>
      <c r="F6" s="26"/>
      <c r="G6" s="55"/>
    </row>
    <row r="7" spans="1:13" x14ac:dyDescent="0.25">
      <c r="A7" s="25" t="s">
        <v>303</v>
      </c>
      <c r="B7" s="26">
        <v>100000</v>
      </c>
      <c r="C7" s="26"/>
      <c r="D7" s="26"/>
      <c r="E7" s="26"/>
      <c r="F7" s="26"/>
      <c r="G7" s="55"/>
    </row>
    <row r="8" spans="1:13" x14ac:dyDescent="0.25">
      <c r="A8" s="3" t="s">
        <v>363</v>
      </c>
      <c r="B8" s="26">
        <v>642257</v>
      </c>
      <c r="C8" s="26"/>
      <c r="D8" s="26"/>
      <c r="E8" s="26"/>
      <c r="F8" s="26"/>
      <c r="G8" s="55"/>
    </row>
    <row r="9" spans="1:13" x14ac:dyDescent="0.25">
      <c r="A9" s="11" t="s">
        <v>364</v>
      </c>
      <c r="B9" s="26">
        <v>642257</v>
      </c>
      <c r="C9" s="26"/>
      <c r="D9" s="26"/>
      <c r="E9" s="26"/>
      <c r="F9" s="26"/>
      <c r="G9" s="55"/>
    </row>
    <row r="10" spans="1:13" x14ac:dyDescent="0.25">
      <c r="A10" s="25" t="s">
        <v>303</v>
      </c>
      <c r="B10" s="26">
        <v>642257</v>
      </c>
      <c r="C10" s="26"/>
      <c r="D10" s="26"/>
      <c r="E10" s="26"/>
      <c r="F10" s="26"/>
      <c r="G10" s="55"/>
    </row>
    <row r="11" spans="1:13" x14ac:dyDescent="0.25">
      <c r="A11" s="3" t="s">
        <v>190</v>
      </c>
      <c r="B11" s="26">
        <v>130091</v>
      </c>
      <c r="C11" s="26">
        <v>84980</v>
      </c>
      <c r="D11" s="26">
        <v>111600</v>
      </c>
      <c r="E11" s="26"/>
      <c r="F11" s="26">
        <v>35000</v>
      </c>
      <c r="G11" s="55"/>
    </row>
    <row r="12" spans="1:13" x14ac:dyDescent="0.25">
      <c r="A12" s="11" t="s">
        <v>56</v>
      </c>
      <c r="B12" s="26">
        <v>130091</v>
      </c>
      <c r="C12" s="26">
        <v>84980</v>
      </c>
      <c r="D12" s="26">
        <v>111600</v>
      </c>
      <c r="E12" s="26"/>
      <c r="F12" s="26">
        <v>35000</v>
      </c>
      <c r="G12" s="55"/>
    </row>
    <row r="13" spans="1:13" x14ac:dyDescent="0.25">
      <c r="A13" s="25">
        <v>63112</v>
      </c>
      <c r="B13" s="26">
        <v>130091</v>
      </c>
      <c r="C13" s="26">
        <v>84980</v>
      </c>
      <c r="D13" s="26">
        <v>111600</v>
      </c>
      <c r="E13" s="26"/>
      <c r="F13" s="26">
        <v>35000</v>
      </c>
      <c r="G13" s="55"/>
    </row>
    <row r="14" spans="1:13" x14ac:dyDescent="0.25">
      <c r="A14" s="3" t="s">
        <v>366</v>
      </c>
      <c r="B14" s="26">
        <v>654000</v>
      </c>
      <c r="C14" s="26"/>
      <c r="D14" s="26"/>
      <c r="E14" s="26"/>
      <c r="F14" s="26"/>
      <c r="G14" s="55"/>
    </row>
    <row r="15" spans="1:13" x14ac:dyDescent="0.25">
      <c r="A15" s="11" t="s">
        <v>365</v>
      </c>
      <c r="B15" s="26">
        <v>654000</v>
      </c>
      <c r="C15" s="26"/>
      <c r="D15" s="26"/>
      <c r="E15" s="26"/>
      <c r="F15" s="26"/>
      <c r="G15" s="55"/>
    </row>
    <row r="16" spans="1:13" x14ac:dyDescent="0.25">
      <c r="A16" s="25" t="s">
        <v>303</v>
      </c>
      <c r="B16" s="26">
        <v>654000</v>
      </c>
      <c r="C16" s="26"/>
      <c r="D16" s="26"/>
      <c r="E16" s="26"/>
      <c r="F16" s="26"/>
      <c r="G16" s="55"/>
    </row>
    <row r="17" spans="1:7" x14ac:dyDescent="0.25">
      <c r="A17" s="3" t="s">
        <v>85</v>
      </c>
      <c r="B17" s="26">
        <v>1258000</v>
      </c>
      <c r="C17" s="26">
        <v>958953</v>
      </c>
      <c r="D17" s="26">
        <v>787433</v>
      </c>
      <c r="E17" s="26"/>
      <c r="F17" s="26"/>
      <c r="G17" s="55"/>
    </row>
    <row r="18" spans="1:7" x14ac:dyDescent="0.25">
      <c r="A18" s="11" t="s">
        <v>137</v>
      </c>
      <c r="B18" s="26">
        <v>1258000</v>
      </c>
      <c r="C18" s="26">
        <v>958953</v>
      </c>
      <c r="D18" s="26">
        <v>787433</v>
      </c>
      <c r="E18" s="26"/>
      <c r="F18" s="26"/>
      <c r="G18" s="55"/>
    </row>
    <row r="19" spans="1:7" x14ac:dyDescent="0.25">
      <c r="A19" s="25">
        <v>64278</v>
      </c>
      <c r="B19" s="26">
        <v>1258000</v>
      </c>
      <c r="C19" s="26">
        <v>958953</v>
      </c>
      <c r="D19" s="26">
        <v>787433</v>
      </c>
      <c r="E19" s="26"/>
      <c r="F19" s="26"/>
      <c r="G19" s="55"/>
    </row>
    <row r="20" spans="1:7" x14ac:dyDescent="0.25">
      <c r="A20" s="3" t="s">
        <v>203</v>
      </c>
      <c r="B20" s="26">
        <v>249100</v>
      </c>
      <c r="C20" s="26"/>
      <c r="D20" s="26"/>
      <c r="E20" s="26"/>
      <c r="F20" s="26"/>
      <c r="G20" s="55"/>
    </row>
    <row r="21" spans="1:7" x14ac:dyDescent="0.25">
      <c r="A21" s="11" t="s">
        <v>219</v>
      </c>
      <c r="B21" s="26">
        <v>249100</v>
      </c>
      <c r="C21" s="26"/>
      <c r="D21" s="26"/>
      <c r="E21" s="26"/>
      <c r="F21" s="26"/>
      <c r="G21" s="55"/>
    </row>
    <row r="22" spans="1:7" x14ac:dyDescent="0.25">
      <c r="A22" s="25" t="s">
        <v>303</v>
      </c>
      <c r="B22" s="26">
        <v>249100</v>
      </c>
      <c r="C22" s="26"/>
      <c r="D22" s="26"/>
      <c r="E22" s="26"/>
      <c r="F22" s="26"/>
      <c r="G22" s="55"/>
    </row>
    <row r="23" spans="1:7" x14ac:dyDescent="0.25">
      <c r="A23" s="3" t="s">
        <v>306</v>
      </c>
      <c r="B23" s="26">
        <v>600000</v>
      </c>
      <c r="C23" s="26"/>
      <c r="D23" s="26"/>
      <c r="E23" s="26"/>
      <c r="F23" s="26"/>
      <c r="G23" s="55"/>
    </row>
    <row r="24" spans="1:7" x14ac:dyDescent="0.25">
      <c r="A24" s="11" t="s">
        <v>536</v>
      </c>
      <c r="B24" s="26">
        <v>600000</v>
      </c>
      <c r="C24" s="26"/>
      <c r="D24" s="26"/>
      <c r="E24" s="26"/>
      <c r="F24" s="26"/>
      <c r="G24" s="55"/>
    </row>
    <row r="25" spans="1:7" x14ac:dyDescent="0.25">
      <c r="A25" s="25" t="s">
        <v>303</v>
      </c>
      <c r="B25" s="26">
        <v>600000</v>
      </c>
      <c r="C25" s="26"/>
      <c r="D25" s="26"/>
      <c r="E25" s="26"/>
      <c r="F25" s="26"/>
      <c r="G25" s="55"/>
    </row>
    <row r="26" spans="1:7" x14ac:dyDescent="0.25">
      <c r="A26" s="3" t="s">
        <v>299</v>
      </c>
      <c r="B26" s="26">
        <v>350000</v>
      </c>
      <c r="C26" s="26"/>
      <c r="D26" s="26"/>
      <c r="E26" s="26"/>
      <c r="F26" s="26"/>
      <c r="G26" s="55"/>
    </row>
    <row r="27" spans="1:7" x14ac:dyDescent="0.25">
      <c r="A27" s="11" t="s">
        <v>339</v>
      </c>
      <c r="B27" s="26">
        <v>350000</v>
      </c>
      <c r="C27" s="26"/>
      <c r="D27" s="26"/>
      <c r="E27" s="26"/>
      <c r="F27" s="26"/>
      <c r="G27" s="55"/>
    </row>
    <row r="28" spans="1:7" x14ac:dyDescent="0.25">
      <c r="A28" s="25" t="s">
        <v>303</v>
      </c>
      <c r="B28" s="26">
        <v>350000</v>
      </c>
      <c r="C28" s="26"/>
      <c r="D28" s="26"/>
      <c r="E28" s="26"/>
      <c r="F28" s="26"/>
      <c r="G28" s="55"/>
    </row>
    <row r="29" spans="1:7" x14ac:dyDescent="0.25">
      <c r="A29" s="3" t="s">
        <v>305</v>
      </c>
      <c r="B29" s="26">
        <v>1132146</v>
      </c>
      <c r="C29" s="26">
        <v>518000</v>
      </c>
      <c r="D29" s="26">
        <v>523245.2</v>
      </c>
      <c r="E29" s="26"/>
      <c r="F29" s="26"/>
      <c r="G29" s="55"/>
    </row>
    <row r="30" spans="1:7" x14ac:dyDescent="0.25">
      <c r="A30" s="11" t="s">
        <v>368</v>
      </c>
      <c r="B30" s="26">
        <v>632146</v>
      </c>
      <c r="C30" s="26">
        <v>518000</v>
      </c>
      <c r="D30" s="26">
        <v>523245.2</v>
      </c>
      <c r="E30" s="26"/>
      <c r="F30" s="26"/>
      <c r="G30" s="55"/>
    </row>
    <row r="31" spans="1:7" x14ac:dyDescent="0.25">
      <c r="A31" s="25">
        <v>64556</v>
      </c>
      <c r="B31" s="26">
        <v>632146</v>
      </c>
      <c r="C31" s="26">
        <v>518000</v>
      </c>
      <c r="D31" s="26">
        <v>523245.2</v>
      </c>
      <c r="E31" s="26"/>
      <c r="F31" s="26"/>
      <c r="G31" s="55"/>
    </row>
    <row r="32" spans="1:7" x14ac:dyDescent="0.25">
      <c r="A32" s="11" t="s">
        <v>307</v>
      </c>
      <c r="B32" s="26">
        <v>500000</v>
      </c>
      <c r="C32" s="26"/>
      <c r="D32" s="26"/>
      <c r="E32" s="26"/>
      <c r="F32" s="26"/>
      <c r="G32" s="55"/>
    </row>
    <row r="33" spans="1:7" x14ac:dyDescent="0.25">
      <c r="A33" s="25" t="s">
        <v>303</v>
      </c>
      <c r="B33" s="26">
        <v>500000</v>
      </c>
      <c r="C33" s="26"/>
      <c r="D33" s="26"/>
      <c r="E33" s="26"/>
      <c r="F33" s="26"/>
      <c r="G33" s="55"/>
    </row>
    <row r="34" spans="1:7" x14ac:dyDescent="0.25">
      <c r="A34" s="3" t="s">
        <v>367</v>
      </c>
      <c r="B34" s="26">
        <v>900000</v>
      </c>
      <c r="C34" s="26">
        <v>900000</v>
      </c>
      <c r="D34" s="26">
        <v>900000</v>
      </c>
      <c r="E34" s="26">
        <v>900000</v>
      </c>
      <c r="F34" s="26">
        <v>0</v>
      </c>
      <c r="G34" s="55"/>
    </row>
    <row r="35" spans="1:7" x14ac:dyDescent="0.25">
      <c r="A35" s="11" t="s">
        <v>137</v>
      </c>
      <c r="B35" s="26">
        <v>900000</v>
      </c>
      <c r="C35" s="26">
        <v>900000</v>
      </c>
      <c r="D35" s="26">
        <v>900000</v>
      </c>
      <c r="E35" s="26">
        <v>900000</v>
      </c>
      <c r="F35" s="26">
        <v>0</v>
      </c>
      <c r="G35" s="55"/>
    </row>
    <row r="36" spans="1:7" x14ac:dyDescent="0.25">
      <c r="A36" s="25">
        <v>64278</v>
      </c>
      <c r="B36" s="26">
        <v>900000</v>
      </c>
      <c r="C36" s="26">
        <v>900000</v>
      </c>
      <c r="D36" s="26">
        <v>900000</v>
      </c>
      <c r="E36" s="26">
        <v>900000</v>
      </c>
      <c r="F36" s="26">
        <v>0</v>
      </c>
      <c r="G36" s="55"/>
    </row>
    <row r="37" spans="1:7" x14ac:dyDescent="0.25">
      <c r="A37" s="3" t="s">
        <v>424</v>
      </c>
      <c r="B37" s="26"/>
      <c r="C37" s="26"/>
      <c r="D37" s="26"/>
      <c r="E37" s="26"/>
      <c r="F37" s="26"/>
      <c r="G37" s="55"/>
    </row>
    <row r="38" spans="1:7" x14ac:dyDescent="0.25">
      <c r="A38" s="11" t="s">
        <v>417</v>
      </c>
      <c r="B38" s="26"/>
      <c r="C38" s="26"/>
      <c r="D38" s="26"/>
      <c r="E38" s="26"/>
      <c r="F38" s="26"/>
      <c r="G38" s="55"/>
    </row>
    <row r="39" spans="1:7" x14ac:dyDescent="0.25">
      <c r="A39" s="25" t="s">
        <v>303</v>
      </c>
      <c r="B39" s="26"/>
      <c r="C39" s="26"/>
      <c r="D39" s="26"/>
      <c r="E39" s="26"/>
      <c r="F39" s="26"/>
      <c r="G39" s="55"/>
    </row>
    <row r="40" spans="1:7" x14ac:dyDescent="0.25">
      <c r="A40" s="3" t="s">
        <v>440</v>
      </c>
      <c r="B40" s="26">
        <v>250000</v>
      </c>
      <c r="C40" s="26">
        <v>210731.5</v>
      </c>
      <c r="D40" s="26">
        <v>196124</v>
      </c>
      <c r="E40" s="26"/>
      <c r="F40" s="26"/>
      <c r="G40" s="55"/>
    </row>
    <row r="41" spans="1:7" x14ac:dyDescent="0.25">
      <c r="A41" s="11" t="s">
        <v>271</v>
      </c>
      <c r="B41" s="26">
        <v>250000</v>
      </c>
      <c r="C41" s="26">
        <v>210731.5</v>
      </c>
      <c r="D41" s="26">
        <v>196124</v>
      </c>
      <c r="E41" s="26"/>
      <c r="F41" s="26"/>
      <c r="G41" s="55"/>
    </row>
    <row r="42" spans="1:7" x14ac:dyDescent="0.25">
      <c r="A42" s="25" t="s">
        <v>303</v>
      </c>
      <c r="B42" s="26">
        <v>250000</v>
      </c>
      <c r="C42" s="26">
        <v>210731.5</v>
      </c>
      <c r="D42" s="26">
        <v>196124</v>
      </c>
      <c r="E42" s="26"/>
      <c r="F42" s="26"/>
      <c r="G42" s="55"/>
    </row>
    <row r="43" spans="1:7" x14ac:dyDescent="0.25">
      <c r="A43" s="3" t="s">
        <v>492</v>
      </c>
      <c r="B43" s="26">
        <v>850000</v>
      </c>
      <c r="C43" s="26">
        <v>670000</v>
      </c>
      <c r="D43" s="26"/>
      <c r="E43" s="26"/>
      <c r="F43" s="26"/>
      <c r="G43" s="55"/>
    </row>
    <row r="44" spans="1:7" x14ac:dyDescent="0.25">
      <c r="A44" s="11" t="s">
        <v>432</v>
      </c>
      <c r="B44" s="26">
        <v>850000</v>
      </c>
      <c r="C44" s="26">
        <v>670000</v>
      </c>
      <c r="D44" s="26"/>
      <c r="E44" s="26"/>
      <c r="F44" s="26"/>
      <c r="G44" s="55"/>
    </row>
    <row r="45" spans="1:7" x14ac:dyDescent="0.25">
      <c r="A45" s="25" t="s">
        <v>303</v>
      </c>
      <c r="B45" s="26">
        <v>850000</v>
      </c>
      <c r="C45" s="26">
        <v>670000</v>
      </c>
      <c r="D45" s="26"/>
      <c r="E45" s="26"/>
      <c r="F45" s="26"/>
    </row>
    <row r="46" spans="1:7" x14ac:dyDescent="0.25">
      <c r="A46" s="3" t="s">
        <v>564</v>
      </c>
      <c r="B46" s="26">
        <v>60000</v>
      </c>
      <c r="C46" s="26">
        <v>57000</v>
      </c>
      <c r="D46" s="26"/>
      <c r="E46" s="26"/>
      <c r="F46" s="26"/>
    </row>
    <row r="47" spans="1:7" x14ac:dyDescent="0.25">
      <c r="A47" s="11" t="s">
        <v>279</v>
      </c>
      <c r="B47" s="26">
        <v>60000</v>
      </c>
      <c r="C47" s="26">
        <v>57000</v>
      </c>
      <c r="D47" s="26"/>
      <c r="E47" s="26"/>
      <c r="F47" s="26"/>
    </row>
    <row r="48" spans="1:7" x14ac:dyDescent="0.25">
      <c r="A48" s="25" t="s">
        <v>303</v>
      </c>
      <c r="B48" s="26">
        <v>60000</v>
      </c>
      <c r="C48" s="26">
        <v>57000</v>
      </c>
      <c r="D48" s="26"/>
      <c r="E48" s="26"/>
      <c r="F48" s="26"/>
    </row>
    <row r="49" spans="1:7" x14ac:dyDescent="0.25">
      <c r="A49" s="3" t="s">
        <v>584</v>
      </c>
      <c r="B49" s="26">
        <v>270000</v>
      </c>
      <c r="C49" s="26">
        <v>268050</v>
      </c>
      <c r="D49" s="26"/>
      <c r="E49" s="26"/>
      <c r="F49" s="26"/>
    </row>
    <row r="50" spans="1:7" x14ac:dyDescent="0.25">
      <c r="A50" s="11" t="s">
        <v>560</v>
      </c>
      <c r="B50" s="26">
        <v>270000</v>
      </c>
      <c r="C50" s="26">
        <v>268050</v>
      </c>
      <c r="D50" s="26"/>
      <c r="E50" s="26"/>
      <c r="F50" s="26"/>
    </row>
    <row r="51" spans="1:7" x14ac:dyDescent="0.25">
      <c r="A51" s="25" t="s">
        <v>303</v>
      </c>
      <c r="B51" s="26">
        <v>270000</v>
      </c>
      <c r="C51" s="26">
        <v>268050</v>
      </c>
      <c r="D51" s="26"/>
      <c r="E51" s="26"/>
      <c r="F51" s="26"/>
    </row>
    <row r="52" spans="1:7" x14ac:dyDescent="0.25">
      <c r="A52" s="3" t="s">
        <v>245</v>
      </c>
      <c r="B52" s="26">
        <v>7445594</v>
      </c>
      <c r="C52" s="26">
        <v>3667714.5</v>
      </c>
      <c r="D52" s="26">
        <v>2518402.2000000002</v>
      </c>
      <c r="E52" s="26">
        <v>900000</v>
      </c>
      <c r="F52" s="26">
        <v>35000</v>
      </c>
    </row>
    <row r="58" spans="1:7" x14ac:dyDescent="0.25">
      <c r="G58" s="55"/>
    </row>
    <row r="63" spans="1:7" x14ac:dyDescent="0.25">
      <c r="G63" s="55">
        <f>G2-SUM(G3:G62)</f>
        <v>1284402</v>
      </c>
    </row>
  </sheetData>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B45B0-18A5-47D0-8571-0C33A9220D80}">
  <dimension ref="A1:H116"/>
  <sheetViews>
    <sheetView workbookViewId="0">
      <selection activeCell="A22" activeCellId="5" sqref="A7 A10 A13 A16 A19 A22 A25 A28 A31 A34 A37 A40 A43 A46 A49 A52 A55 A58 A61 A64 A67 A70 A73 A76"/>
      <pivotSelection pane="bottomRight" showHeader="1" dimension="2" activeRow="21" click="1" r:id="rId1">
        <pivotArea dataOnly="0" labelOnly="1" fieldPosition="0">
          <references count="1">
            <reference field="9" count="0"/>
          </references>
        </pivotArea>
      </pivotSelection>
    </sheetView>
  </sheetViews>
  <sheetFormatPr defaultRowHeight="15" x14ac:dyDescent="0.25"/>
  <cols>
    <col min="1" max="1" width="116" bestFit="1" customWidth="1"/>
    <col min="2" max="2" width="21.140625" bestFit="1" customWidth="1"/>
    <col min="3" max="3" width="20.7109375" bestFit="1" customWidth="1"/>
    <col min="4" max="4" width="18.28515625" bestFit="1" customWidth="1"/>
    <col min="5" max="5" width="30.7109375" bestFit="1" customWidth="1"/>
    <col min="6" max="6" width="44.5703125" customWidth="1"/>
    <col min="7" max="7" width="26.42578125" customWidth="1"/>
    <col min="8" max="8" width="19.28515625" bestFit="1" customWidth="1"/>
    <col min="9" max="9" width="17.85546875" bestFit="1" customWidth="1"/>
    <col min="10" max="10" width="12.140625" bestFit="1" customWidth="1"/>
  </cols>
  <sheetData>
    <row r="1" spans="1:8" x14ac:dyDescent="0.25">
      <c r="A1" s="10" t="s">
        <v>47</v>
      </c>
      <c r="B1" t="s">
        <v>338</v>
      </c>
      <c r="E1" t="s">
        <v>82</v>
      </c>
      <c r="F1" t="s">
        <v>388</v>
      </c>
      <c r="G1" t="s">
        <v>476</v>
      </c>
      <c r="H1" t="s">
        <v>35</v>
      </c>
    </row>
    <row r="2" spans="1:8" x14ac:dyDescent="0.25">
      <c r="A2" s="10" t="s">
        <v>89</v>
      </c>
      <c r="B2" t="s">
        <v>338</v>
      </c>
      <c r="E2" t="s">
        <v>475</v>
      </c>
      <c r="F2" t="s">
        <v>481</v>
      </c>
      <c r="G2" s="55">
        <f>45239+54752+381290+76975+4720+360212</f>
        <v>923188</v>
      </c>
    </row>
    <row r="4" spans="1:8" x14ac:dyDescent="0.25">
      <c r="A4" s="10" t="s">
        <v>330</v>
      </c>
      <c r="B4" t="s">
        <v>331</v>
      </c>
      <c r="C4" t="s">
        <v>246</v>
      </c>
      <c r="D4" t="s">
        <v>247</v>
      </c>
      <c r="E4" t="s">
        <v>248</v>
      </c>
    </row>
    <row r="5" spans="1:8" x14ac:dyDescent="0.25">
      <c r="A5" s="3" t="s">
        <v>216</v>
      </c>
      <c r="B5" s="26">
        <v>150000</v>
      </c>
      <c r="C5" s="26">
        <v>330959</v>
      </c>
      <c r="D5" s="26"/>
      <c r="E5" s="26"/>
      <c r="G5" s="55"/>
    </row>
    <row r="6" spans="1:8" x14ac:dyDescent="0.25">
      <c r="A6" s="11" t="s">
        <v>409</v>
      </c>
      <c r="B6" s="26">
        <v>150000</v>
      </c>
      <c r="C6" s="26">
        <v>330959</v>
      </c>
      <c r="D6" s="26"/>
      <c r="E6" s="26"/>
      <c r="G6" s="55"/>
    </row>
    <row r="7" spans="1:8" x14ac:dyDescent="0.25">
      <c r="A7" s="25" t="s">
        <v>303</v>
      </c>
      <c r="B7" s="26">
        <v>150000</v>
      </c>
      <c r="C7" s="26">
        <v>330959</v>
      </c>
      <c r="D7" s="26"/>
      <c r="E7" s="26"/>
      <c r="G7" s="55"/>
    </row>
    <row r="8" spans="1:8" x14ac:dyDescent="0.25">
      <c r="A8" s="3" t="s">
        <v>379</v>
      </c>
      <c r="B8" s="26">
        <v>75000</v>
      </c>
      <c r="C8" s="26">
        <v>75000</v>
      </c>
      <c r="D8" s="26">
        <v>75000</v>
      </c>
      <c r="E8" s="26">
        <v>75000</v>
      </c>
      <c r="G8" s="55"/>
    </row>
    <row r="9" spans="1:8" x14ac:dyDescent="0.25">
      <c r="A9" s="11" t="s">
        <v>154</v>
      </c>
      <c r="B9" s="26">
        <v>75000</v>
      </c>
      <c r="C9" s="26">
        <v>75000</v>
      </c>
      <c r="D9" s="26">
        <v>75000</v>
      </c>
      <c r="E9" s="26">
        <v>75000</v>
      </c>
      <c r="G9" s="55"/>
    </row>
    <row r="10" spans="1:8" x14ac:dyDescent="0.25">
      <c r="A10" s="25">
        <v>63041</v>
      </c>
      <c r="B10" s="26">
        <v>75000</v>
      </c>
      <c r="C10" s="26">
        <v>75000</v>
      </c>
      <c r="D10" s="26">
        <v>75000</v>
      </c>
      <c r="E10" s="26">
        <v>75000</v>
      </c>
      <c r="G10" s="55"/>
    </row>
    <row r="11" spans="1:8" x14ac:dyDescent="0.25">
      <c r="A11" s="3" t="s">
        <v>370</v>
      </c>
      <c r="B11" s="26">
        <v>1890000</v>
      </c>
      <c r="C11" s="26">
        <v>1747800</v>
      </c>
      <c r="D11" s="26">
        <v>1260304.05</v>
      </c>
      <c r="E11" s="26"/>
      <c r="G11" s="55"/>
    </row>
    <row r="12" spans="1:8" x14ac:dyDescent="0.25">
      <c r="A12" s="11" t="s">
        <v>345</v>
      </c>
      <c r="B12" s="26">
        <v>1890000</v>
      </c>
      <c r="C12" s="26">
        <v>1747800</v>
      </c>
      <c r="D12" s="26">
        <v>1260304.05</v>
      </c>
      <c r="E12" s="26"/>
      <c r="G12" s="55"/>
    </row>
    <row r="13" spans="1:8" x14ac:dyDescent="0.25">
      <c r="A13" s="25">
        <v>64389</v>
      </c>
      <c r="B13" s="26">
        <v>1890000</v>
      </c>
      <c r="C13" s="26">
        <v>1747800</v>
      </c>
      <c r="D13" s="26">
        <v>1260304.05</v>
      </c>
      <c r="E13" s="26"/>
      <c r="G13" s="55"/>
    </row>
    <row r="14" spans="1:8" x14ac:dyDescent="0.25">
      <c r="A14" s="3" t="s">
        <v>371</v>
      </c>
      <c r="B14" s="26">
        <v>220890</v>
      </c>
      <c r="C14" s="26">
        <v>220890</v>
      </c>
      <c r="D14" s="26">
        <v>220890</v>
      </c>
      <c r="E14" s="26"/>
      <c r="G14" s="55"/>
    </row>
    <row r="15" spans="1:8" x14ac:dyDescent="0.25">
      <c r="A15" s="11" t="s">
        <v>345</v>
      </c>
      <c r="B15" s="26">
        <v>220890</v>
      </c>
      <c r="C15" s="26">
        <v>220890</v>
      </c>
      <c r="D15" s="26">
        <v>220890</v>
      </c>
      <c r="E15" s="26"/>
      <c r="G15" s="55"/>
    </row>
    <row r="16" spans="1:8" x14ac:dyDescent="0.25">
      <c r="A16" s="25">
        <v>64389</v>
      </c>
      <c r="B16" s="26">
        <v>220890</v>
      </c>
      <c r="C16" s="26">
        <v>220890</v>
      </c>
      <c r="D16" s="26">
        <v>220890</v>
      </c>
      <c r="E16" s="26"/>
      <c r="G16" s="55"/>
    </row>
    <row r="17" spans="1:7" x14ac:dyDescent="0.25">
      <c r="A17" s="3" t="s">
        <v>272</v>
      </c>
      <c r="B17" s="26">
        <v>193790</v>
      </c>
      <c r="C17" s="26">
        <v>193790</v>
      </c>
      <c r="D17" s="26">
        <v>193790</v>
      </c>
      <c r="E17" s="26"/>
      <c r="G17" s="55"/>
    </row>
    <row r="18" spans="1:7" x14ac:dyDescent="0.25">
      <c r="A18" s="11" t="s">
        <v>437</v>
      </c>
      <c r="B18" s="26">
        <v>193790</v>
      </c>
      <c r="C18" s="26">
        <v>193790</v>
      </c>
      <c r="D18" s="26">
        <v>193790</v>
      </c>
      <c r="E18" s="26"/>
      <c r="G18" s="55"/>
    </row>
    <row r="19" spans="1:7" x14ac:dyDescent="0.25">
      <c r="A19" s="25">
        <v>64739</v>
      </c>
      <c r="B19" s="26">
        <v>193790</v>
      </c>
      <c r="C19" s="26">
        <v>193790</v>
      </c>
      <c r="D19" s="26">
        <v>193790</v>
      </c>
      <c r="E19" s="26"/>
      <c r="G19" s="55"/>
    </row>
    <row r="20" spans="1:7" x14ac:dyDescent="0.25">
      <c r="A20" s="3" t="s">
        <v>372</v>
      </c>
      <c r="B20" s="26">
        <v>510000</v>
      </c>
      <c r="C20" s="26">
        <v>510000</v>
      </c>
      <c r="D20" s="26">
        <v>510000</v>
      </c>
      <c r="E20" s="26"/>
      <c r="G20" s="55"/>
    </row>
    <row r="21" spans="1:7" x14ac:dyDescent="0.25">
      <c r="A21" s="11" t="s">
        <v>345</v>
      </c>
      <c r="B21" s="26">
        <v>510000</v>
      </c>
      <c r="C21" s="26">
        <v>510000</v>
      </c>
      <c r="D21" s="26">
        <v>510000</v>
      </c>
      <c r="E21" s="26"/>
      <c r="G21" s="55"/>
    </row>
    <row r="22" spans="1:7" x14ac:dyDescent="0.25">
      <c r="A22" s="25">
        <v>64389</v>
      </c>
      <c r="B22" s="26">
        <v>510000</v>
      </c>
      <c r="C22" s="26">
        <v>510000</v>
      </c>
      <c r="D22" s="26">
        <v>510000</v>
      </c>
      <c r="E22" s="26"/>
      <c r="G22" s="55"/>
    </row>
    <row r="23" spans="1:7" x14ac:dyDescent="0.25">
      <c r="A23" s="3" t="s">
        <v>275</v>
      </c>
      <c r="B23" s="26">
        <v>419675</v>
      </c>
      <c r="C23" s="26">
        <v>261297.95</v>
      </c>
      <c r="D23" s="26">
        <v>227054.95</v>
      </c>
      <c r="E23" s="26"/>
      <c r="G23" s="55"/>
    </row>
    <row r="24" spans="1:7" x14ac:dyDescent="0.25">
      <c r="A24" s="11" t="s">
        <v>437</v>
      </c>
      <c r="B24" s="26">
        <v>419675</v>
      </c>
      <c r="C24" s="26">
        <v>261297.95</v>
      </c>
      <c r="D24" s="26">
        <v>227054.95</v>
      </c>
      <c r="E24" s="26"/>
      <c r="G24" s="55"/>
    </row>
    <row r="25" spans="1:7" x14ac:dyDescent="0.25">
      <c r="A25" s="25">
        <v>64739</v>
      </c>
      <c r="B25" s="26">
        <v>419675</v>
      </c>
      <c r="C25" s="26">
        <v>261297.95</v>
      </c>
      <c r="D25" s="26">
        <v>227054.95</v>
      </c>
      <c r="E25" s="26"/>
      <c r="G25" s="55"/>
    </row>
    <row r="26" spans="1:7" x14ac:dyDescent="0.25">
      <c r="A26" s="3" t="s">
        <v>274</v>
      </c>
      <c r="B26" s="26">
        <v>124529</v>
      </c>
      <c r="C26" s="26">
        <v>136535</v>
      </c>
      <c r="D26" s="26">
        <v>136535</v>
      </c>
      <c r="E26" s="26"/>
      <c r="G26" s="55"/>
    </row>
    <row r="27" spans="1:7" x14ac:dyDescent="0.25">
      <c r="A27" s="11" t="s">
        <v>437</v>
      </c>
      <c r="B27" s="26">
        <v>124529</v>
      </c>
      <c r="C27" s="26">
        <v>136535</v>
      </c>
      <c r="D27" s="26">
        <v>136535</v>
      </c>
      <c r="E27" s="26"/>
      <c r="G27" s="55"/>
    </row>
    <row r="28" spans="1:7" x14ac:dyDescent="0.25">
      <c r="A28" s="25">
        <v>64739</v>
      </c>
      <c r="B28" s="26">
        <v>124529</v>
      </c>
      <c r="C28" s="26">
        <v>136535</v>
      </c>
      <c r="D28" s="26">
        <v>136535</v>
      </c>
      <c r="E28" s="26"/>
      <c r="G28" s="55"/>
    </row>
    <row r="29" spans="1:7" x14ac:dyDescent="0.25">
      <c r="A29" s="3" t="s">
        <v>383</v>
      </c>
      <c r="B29" s="26">
        <v>463298</v>
      </c>
      <c r="C29" s="26">
        <v>463298</v>
      </c>
      <c r="D29" s="26">
        <v>463298</v>
      </c>
      <c r="E29" s="26"/>
      <c r="G29" s="55"/>
    </row>
    <row r="30" spans="1:7" x14ac:dyDescent="0.25">
      <c r="A30" s="11" t="s">
        <v>271</v>
      </c>
      <c r="B30" s="26">
        <v>463298</v>
      </c>
      <c r="C30" s="26">
        <v>463298</v>
      </c>
      <c r="D30" s="26">
        <v>463298</v>
      </c>
      <c r="E30" s="26"/>
      <c r="G30" s="55"/>
    </row>
    <row r="31" spans="1:7" x14ac:dyDescent="0.25">
      <c r="A31" s="25" t="s">
        <v>303</v>
      </c>
      <c r="B31" s="26">
        <v>463298</v>
      </c>
      <c r="C31" s="26">
        <v>463298</v>
      </c>
      <c r="D31" s="26">
        <v>463298</v>
      </c>
      <c r="E31" s="26"/>
      <c r="G31" s="55"/>
    </row>
    <row r="32" spans="1:7" x14ac:dyDescent="0.25">
      <c r="A32" s="3" t="s">
        <v>237</v>
      </c>
      <c r="B32" s="26">
        <v>1170300</v>
      </c>
      <c r="C32" s="26">
        <v>1141766.18</v>
      </c>
      <c r="D32" s="26">
        <v>1003926</v>
      </c>
      <c r="E32" s="26"/>
      <c r="G32" s="55"/>
    </row>
    <row r="33" spans="1:7" x14ac:dyDescent="0.25">
      <c r="A33" s="11" t="s">
        <v>154</v>
      </c>
      <c r="B33" s="26">
        <v>1170300</v>
      </c>
      <c r="C33" s="26">
        <v>1141766.18</v>
      </c>
      <c r="D33" s="26">
        <v>1003926</v>
      </c>
      <c r="E33" s="26"/>
      <c r="G33" s="55"/>
    </row>
    <row r="34" spans="1:7" x14ac:dyDescent="0.25">
      <c r="A34" s="25">
        <v>63041</v>
      </c>
      <c r="B34" s="26">
        <v>1170300</v>
      </c>
      <c r="C34" s="26">
        <v>1141766.18</v>
      </c>
      <c r="D34" s="26">
        <v>1003926</v>
      </c>
      <c r="E34" s="26"/>
      <c r="G34" s="55"/>
    </row>
    <row r="35" spans="1:7" x14ac:dyDescent="0.25">
      <c r="A35" s="3" t="s">
        <v>329</v>
      </c>
      <c r="B35" s="26">
        <v>220639</v>
      </c>
      <c r="C35" s="26">
        <v>108504.1</v>
      </c>
      <c r="D35" s="26">
        <v>108504.1</v>
      </c>
      <c r="E35" s="26"/>
      <c r="G35" s="55"/>
    </row>
    <row r="36" spans="1:7" x14ac:dyDescent="0.25">
      <c r="A36" s="11" t="s">
        <v>271</v>
      </c>
      <c r="B36" s="26">
        <v>220639</v>
      </c>
      <c r="C36" s="26">
        <v>108504.1</v>
      </c>
      <c r="D36" s="26">
        <v>108504.1</v>
      </c>
      <c r="E36" s="26"/>
      <c r="G36" s="55"/>
    </row>
    <row r="37" spans="1:7" x14ac:dyDescent="0.25">
      <c r="A37" s="25" t="s">
        <v>303</v>
      </c>
      <c r="B37" s="26">
        <v>220639</v>
      </c>
      <c r="C37" s="26">
        <v>108504.1</v>
      </c>
      <c r="D37" s="26">
        <v>108504.1</v>
      </c>
      <c r="E37" s="26"/>
      <c r="G37" s="55"/>
    </row>
    <row r="38" spans="1:7" x14ac:dyDescent="0.25">
      <c r="A38" s="3" t="s">
        <v>233</v>
      </c>
      <c r="B38" s="26">
        <v>982837</v>
      </c>
      <c r="C38" s="26">
        <v>847792.4</v>
      </c>
      <c r="D38" s="26">
        <v>789902</v>
      </c>
      <c r="E38" s="26"/>
      <c r="G38" s="55"/>
    </row>
    <row r="39" spans="1:7" x14ac:dyDescent="0.25">
      <c r="A39" s="11" t="s">
        <v>236</v>
      </c>
      <c r="B39" s="26">
        <v>982837</v>
      </c>
      <c r="C39" s="26">
        <v>847792.4</v>
      </c>
      <c r="D39" s="26">
        <v>789902</v>
      </c>
      <c r="E39" s="26"/>
      <c r="G39" s="55"/>
    </row>
    <row r="40" spans="1:7" x14ac:dyDescent="0.25">
      <c r="A40" s="25">
        <v>63042</v>
      </c>
      <c r="B40" s="26">
        <v>982837</v>
      </c>
      <c r="C40" s="26">
        <v>847792.4</v>
      </c>
      <c r="D40" s="26">
        <v>789902</v>
      </c>
      <c r="E40" s="26"/>
      <c r="G40" s="55"/>
    </row>
    <row r="41" spans="1:7" x14ac:dyDescent="0.25">
      <c r="A41" s="3" t="s">
        <v>428</v>
      </c>
      <c r="B41" s="26">
        <v>120000</v>
      </c>
      <c r="C41" s="26">
        <v>120000</v>
      </c>
      <c r="D41" s="26">
        <v>120000</v>
      </c>
      <c r="E41" s="26">
        <v>54020</v>
      </c>
      <c r="G41" s="55"/>
    </row>
    <row r="42" spans="1:7" x14ac:dyDescent="0.25">
      <c r="A42" s="11" t="s">
        <v>154</v>
      </c>
      <c r="B42" s="26">
        <v>120000</v>
      </c>
      <c r="C42" s="26">
        <v>120000</v>
      </c>
      <c r="D42" s="26">
        <v>120000</v>
      </c>
      <c r="E42" s="26">
        <v>54020</v>
      </c>
      <c r="G42" s="55"/>
    </row>
    <row r="43" spans="1:7" x14ac:dyDescent="0.25">
      <c r="A43" s="25">
        <v>63041</v>
      </c>
      <c r="B43" s="26">
        <v>120000</v>
      </c>
      <c r="C43" s="26">
        <v>120000</v>
      </c>
      <c r="D43" s="26">
        <v>120000</v>
      </c>
      <c r="E43" s="26">
        <v>54020</v>
      </c>
      <c r="G43" s="55"/>
    </row>
    <row r="44" spans="1:7" x14ac:dyDescent="0.25">
      <c r="A44" s="3" t="s">
        <v>468</v>
      </c>
      <c r="B44" s="26">
        <v>500000</v>
      </c>
      <c r="C44" s="26">
        <v>254015.5</v>
      </c>
      <c r="D44" s="26"/>
      <c r="E44" s="26"/>
      <c r="G44" s="55"/>
    </row>
    <row r="45" spans="1:7" x14ac:dyDescent="0.25">
      <c r="A45" s="11" t="s">
        <v>276</v>
      </c>
      <c r="B45" s="26">
        <v>500000</v>
      </c>
      <c r="C45" s="26">
        <v>254015.5</v>
      </c>
      <c r="D45" s="26"/>
      <c r="E45" s="26"/>
      <c r="G45" s="55"/>
    </row>
    <row r="46" spans="1:7" x14ac:dyDescent="0.25">
      <c r="A46" s="25" t="s">
        <v>303</v>
      </c>
      <c r="B46" s="26">
        <v>500000</v>
      </c>
      <c r="C46" s="26">
        <v>254015.5</v>
      </c>
      <c r="D46" s="26"/>
      <c r="E46" s="26"/>
      <c r="G46" s="55"/>
    </row>
    <row r="47" spans="1:7" x14ac:dyDescent="0.25">
      <c r="A47" s="3" t="s">
        <v>474</v>
      </c>
      <c r="B47" s="26">
        <v>1450000</v>
      </c>
      <c r="C47" s="26">
        <v>963667.75</v>
      </c>
      <c r="D47" s="26"/>
      <c r="E47" s="26"/>
      <c r="G47" s="55"/>
    </row>
    <row r="48" spans="1:7" x14ac:dyDescent="0.25">
      <c r="A48" s="11" t="s">
        <v>581</v>
      </c>
      <c r="B48" s="26">
        <v>1450000</v>
      </c>
      <c r="C48" s="26">
        <v>963667.75</v>
      </c>
      <c r="D48" s="26"/>
      <c r="E48" s="26"/>
      <c r="G48" s="55"/>
    </row>
    <row r="49" spans="1:7" x14ac:dyDescent="0.25">
      <c r="A49" s="25" t="s">
        <v>303</v>
      </c>
      <c r="B49" s="26">
        <v>1450000</v>
      </c>
      <c r="C49" s="26">
        <v>963667.75</v>
      </c>
      <c r="D49" s="26"/>
      <c r="E49" s="26"/>
      <c r="G49" s="55"/>
    </row>
    <row r="50" spans="1:7" x14ac:dyDescent="0.25">
      <c r="A50" s="3" t="s">
        <v>467</v>
      </c>
      <c r="B50" s="26">
        <v>1000000</v>
      </c>
      <c r="C50" s="26">
        <v>1884000</v>
      </c>
      <c r="D50" s="26"/>
      <c r="E50" s="26"/>
      <c r="G50" s="55"/>
    </row>
    <row r="51" spans="1:7" x14ac:dyDescent="0.25">
      <c r="A51" s="11" t="s">
        <v>409</v>
      </c>
      <c r="B51" s="26">
        <v>1000000</v>
      </c>
      <c r="C51" s="26">
        <v>1884000</v>
      </c>
      <c r="D51" s="26"/>
      <c r="E51" s="26"/>
      <c r="G51" s="55"/>
    </row>
    <row r="52" spans="1:7" x14ac:dyDescent="0.25">
      <c r="A52" s="25" t="s">
        <v>303</v>
      </c>
      <c r="B52" s="26">
        <v>1000000</v>
      </c>
      <c r="C52" s="26">
        <v>1884000</v>
      </c>
      <c r="D52" s="26"/>
      <c r="E52" s="26"/>
      <c r="G52" s="55"/>
    </row>
    <row r="53" spans="1:7" x14ac:dyDescent="0.25">
      <c r="A53" s="3" t="s">
        <v>472</v>
      </c>
      <c r="B53" s="26">
        <v>250000</v>
      </c>
      <c r="C53" s="26">
        <v>180000</v>
      </c>
      <c r="D53" s="26"/>
      <c r="E53" s="26"/>
      <c r="G53" s="55"/>
    </row>
    <row r="54" spans="1:7" x14ac:dyDescent="0.25">
      <c r="A54" s="11" t="s">
        <v>473</v>
      </c>
      <c r="B54" s="26">
        <v>250000</v>
      </c>
      <c r="C54" s="26">
        <v>180000</v>
      </c>
      <c r="D54" s="26"/>
      <c r="E54" s="26"/>
      <c r="G54" s="55"/>
    </row>
    <row r="55" spans="1:7" x14ac:dyDescent="0.25">
      <c r="A55" s="25" t="s">
        <v>303</v>
      </c>
      <c r="B55" s="26">
        <v>250000</v>
      </c>
      <c r="C55" s="26">
        <v>180000</v>
      </c>
      <c r="D55" s="26"/>
      <c r="E55" s="26"/>
      <c r="G55" s="55"/>
    </row>
    <row r="56" spans="1:7" x14ac:dyDescent="0.25">
      <c r="A56" s="3" t="s">
        <v>493</v>
      </c>
      <c r="B56" s="26">
        <v>4000000</v>
      </c>
      <c r="C56" s="26">
        <v>3340000</v>
      </c>
      <c r="D56" s="26"/>
      <c r="E56" s="26"/>
      <c r="G56" s="55"/>
    </row>
    <row r="57" spans="1:7" x14ac:dyDescent="0.25">
      <c r="A57" s="11" t="s">
        <v>279</v>
      </c>
      <c r="B57" s="26">
        <v>4000000</v>
      </c>
      <c r="C57" s="26">
        <v>3340000</v>
      </c>
      <c r="D57" s="26"/>
      <c r="E57" s="26"/>
      <c r="G57" s="55"/>
    </row>
    <row r="58" spans="1:7" x14ac:dyDescent="0.25">
      <c r="A58" s="25" t="s">
        <v>303</v>
      </c>
      <c r="B58" s="26">
        <v>4000000</v>
      </c>
      <c r="C58" s="26">
        <v>3340000</v>
      </c>
      <c r="D58" s="26"/>
      <c r="E58" s="26"/>
      <c r="G58" s="55"/>
    </row>
    <row r="59" spans="1:7" x14ac:dyDescent="0.25">
      <c r="A59" s="3" t="s">
        <v>495</v>
      </c>
      <c r="B59" s="26">
        <v>1100000</v>
      </c>
      <c r="C59" s="26">
        <v>958272.13</v>
      </c>
      <c r="D59" s="26"/>
      <c r="E59" s="26"/>
      <c r="G59" s="55"/>
    </row>
    <row r="60" spans="1:7" x14ac:dyDescent="0.25">
      <c r="A60" s="11" t="s">
        <v>560</v>
      </c>
      <c r="B60" s="26">
        <v>1100000</v>
      </c>
      <c r="C60" s="26">
        <v>958272.13</v>
      </c>
      <c r="D60" s="26"/>
      <c r="E60" s="26"/>
      <c r="G60" s="55"/>
    </row>
    <row r="61" spans="1:7" x14ac:dyDescent="0.25">
      <c r="A61" s="25" t="s">
        <v>303</v>
      </c>
      <c r="B61" s="26">
        <v>1100000</v>
      </c>
      <c r="C61" s="26">
        <v>958272.13</v>
      </c>
      <c r="D61" s="26"/>
      <c r="E61" s="26"/>
      <c r="G61" s="55"/>
    </row>
    <row r="62" spans="1:7" x14ac:dyDescent="0.25">
      <c r="A62" s="3" t="s">
        <v>553</v>
      </c>
      <c r="B62" s="26">
        <v>700000</v>
      </c>
      <c r="C62" s="26">
        <v>700000</v>
      </c>
      <c r="D62" s="26"/>
      <c r="E62" s="26"/>
      <c r="G62" s="55"/>
    </row>
    <row r="63" spans="1:7" x14ac:dyDescent="0.25">
      <c r="A63" s="11" t="s">
        <v>276</v>
      </c>
      <c r="B63" s="26">
        <v>700000</v>
      </c>
      <c r="C63" s="26">
        <v>700000</v>
      </c>
      <c r="D63" s="26"/>
      <c r="E63" s="26"/>
      <c r="G63" s="55"/>
    </row>
    <row r="64" spans="1:7" x14ac:dyDescent="0.25">
      <c r="A64" s="25" t="s">
        <v>303</v>
      </c>
      <c r="B64" s="26">
        <v>700000</v>
      </c>
      <c r="C64" s="26">
        <v>700000</v>
      </c>
      <c r="D64" s="26"/>
      <c r="E64" s="26"/>
      <c r="G64" s="55"/>
    </row>
    <row r="65" spans="1:7" x14ac:dyDescent="0.25">
      <c r="A65" s="3" t="s">
        <v>555</v>
      </c>
      <c r="B65" s="26">
        <v>400000</v>
      </c>
      <c r="C65" s="26">
        <v>160000</v>
      </c>
      <c r="D65" s="26"/>
      <c r="E65" s="26"/>
      <c r="G65" s="55"/>
    </row>
    <row r="66" spans="1:7" x14ac:dyDescent="0.25">
      <c r="A66" s="11" t="s">
        <v>376</v>
      </c>
      <c r="B66" s="26">
        <v>400000</v>
      </c>
      <c r="C66" s="26">
        <v>160000</v>
      </c>
      <c r="D66" s="26"/>
      <c r="E66" s="26"/>
      <c r="G66" s="55"/>
    </row>
    <row r="67" spans="1:7" x14ac:dyDescent="0.25">
      <c r="A67" s="25" t="s">
        <v>303</v>
      </c>
      <c r="B67" s="26">
        <v>400000</v>
      </c>
      <c r="C67" s="26">
        <v>160000</v>
      </c>
      <c r="D67" s="26"/>
      <c r="E67" s="26"/>
      <c r="G67" s="55"/>
    </row>
    <row r="68" spans="1:7" x14ac:dyDescent="0.25">
      <c r="A68" s="3" t="s">
        <v>587</v>
      </c>
      <c r="B68" s="26">
        <v>1250000</v>
      </c>
      <c r="C68" s="26">
        <v>1085116.6000000001</v>
      </c>
      <c r="D68" s="26"/>
      <c r="E68" s="26"/>
      <c r="G68" s="55"/>
    </row>
    <row r="69" spans="1:7" x14ac:dyDescent="0.25">
      <c r="A69" s="11" t="s">
        <v>582</v>
      </c>
      <c r="B69" s="26">
        <v>1250000</v>
      </c>
      <c r="C69" s="26">
        <v>1085116.6000000001</v>
      </c>
      <c r="D69" s="26"/>
      <c r="E69" s="26"/>
      <c r="G69" s="55"/>
    </row>
    <row r="70" spans="1:7" x14ac:dyDescent="0.25">
      <c r="A70" s="25" t="s">
        <v>303</v>
      </c>
      <c r="B70" s="26">
        <v>1250000</v>
      </c>
      <c r="C70" s="26">
        <v>1085116.6000000001</v>
      </c>
      <c r="D70" s="26"/>
      <c r="E70" s="26"/>
      <c r="G70" s="55"/>
    </row>
    <row r="71" spans="1:7" x14ac:dyDescent="0.25">
      <c r="A71" s="3" t="s">
        <v>245</v>
      </c>
      <c r="B71" s="26">
        <v>17190958</v>
      </c>
      <c r="C71" s="26">
        <v>15682704.609999999</v>
      </c>
      <c r="D71" s="26">
        <v>5109204.0999999996</v>
      </c>
      <c r="E71" s="26">
        <v>129020</v>
      </c>
      <c r="G71" s="55"/>
    </row>
    <row r="72" spans="1:7" x14ac:dyDescent="0.25">
      <c r="G72" s="55"/>
    </row>
    <row r="73" spans="1:7" x14ac:dyDescent="0.25">
      <c r="G73" s="55"/>
    </row>
    <row r="74" spans="1:7" x14ac:dyDescent="0.25">
      <c r="G74" s="55"/>
    </row>
    <row r="75" spans="1:7" x14ac:dyDescent="0.25">
      <c r="G75" s="55"/>
    </row>
    <row r="76" spans="1:7" x14ac:dyDescent="0.25">
      <c r="G76" s="55"/>
    </row>
    <row r="77" spans="1:7" x14ac:dyDescent="0.25">
      <c r="G77" s="55"/>
    </row>
    <row r="78" spans="1:7" x14ac:dyDescent="0.25">
      <c r="G78" s="55"/>
    </row>
    <row r="79" spans="1:7" x14ac:dyDescent="0.25">
      <c r="G79" s="55"/>
    </row>
    <row r="80" spans="1:7" x14ac:dyDescent="0.25">
      <c r="G80" s="55"/>
    </row>
    <row r="81" spans="7:7" x14ac:dyDescent="0.25">
      <c r="G81" s="55"/>
    </row>
    <row r="82" spans="7:7" x14ac:dyDescent="0.25">
      <c r="G82" s="55"/>
    </row>
    <row r="83" spans="7:7" x14ac:dyDescent="0.25">
      <c r="G83" s="55"/>
    </row>
    <row r="84" spans="7:7" x14ac:dyDescent="0.25">
      <c r="G84" s="55"/>
    </row>
    <row r="85" spans="7:7" x14ac:dyDescent="0.25">
      <c r="G85" s="55"/>
    </row>
    <row r="86" spans="7:7" x14ac:dyDescent="0.25">
      <c r="G86" s="55"/>
    </row>
    <row r="87" spans="7:7" x14ac:dyDescent="0.25">
      <c r="G87" s="55"/>
    </row>
    <row r="88" spans="7:7" x14ac:dyDescent="0.25">
      <c r="G88" s="55"/>
    </row>
    <row r="89" spans="7:7" x14ac:dyDescent="0.25">
      <c r="G89" s="55"/>
    </row>
    <row r="90" spans="7:7" x14ac:dyDescent="0.25">
      <c r="G90" s="55"/>
    </row>
    <row r="91" spans="7:7" x14ac:dyDescent="0.25">
      <c r="G91" s="55"/>
    </row>
    <row r="92" spans="7:7" x14ac:dyDescent="0.25">
      <c r="G92" s="55"/>
    </row>
    <row r="93" spans="7:7" x14ac:dyDescent="0.25">
      <c r="G93" s="55"/>
    </row>
    <row r="94" spans="7:7" x14ac:dyDescent="0.25">
      <c r="G94" s="55"/>
    </row>
    <row r="95" spans="7:7" x14ac:dyDescent="0.25">
      <c r="G95" s="55"/>
    </row>
    <row r="96" spans="7:7" x14ac:dyDescent="0.25">
      <c r="G96" s="55"/>
    </row>
    <row r="97" spans="7:7" x14ac:dyDescent="0.25">
      <c r="G97" s="55"/>
    </row>
    <row r="98" spans="7:7" x14ac:dyDescent="0.25">
      <c r="G98" s="55"/>
    </row>
    <row r="99" spans="7:7" x14ac:dyDescent="0.25">
      <c r="G99" s="55"/>
    </row>
    <row r="100" spans="7:7" x14ac:dyDescent="0.25">
      <c r="G100" s="55"/>
    </row>
    <row r="101" spans="7:7" x14ac:dyDescent="0.25">
      <c r="G101" s="55"/>
    </row>
    <row r="102" spans="7:7" x14ac:dyDescent="0.25">
      <c r="G102" s="55"/>
    </row>
    <row r="103" spans="7:7" x14ac:dyDescent="0.25">
      <c r="G103" s="55"/>
    </row>
    <row r="104" spans="7:7" x14ac:dyDescent="0.25">
      <c r="G104" s="55"/>
    </row>
    <row r="105" spans="7:7" x14ac:dyDescent="0.25">
      <c r="G105" s="55"/>
    </row>
    <row r="106" spans="7:7" x14ac:dyDescent="0.25">
      <c r="G106" s="55"/>
    </row>
    <row r="107" spans="7:7" x14ac:dyDescent="0.25">
      <c r="G107" s="55"/>
    </row>
    <row r="108" spans="7:7" x14ac:dyDescent="0.25">
      <c r="G108" s="55"/>
    </row>
    <row r="109" spans="7:7" x14ac:dyDescent="0.25">
      <c r="G109" s="55"/>
    </row>
    <row r="110" spans="7:7" x14ac:dyDescent="0.25">
      <c r="G110" s="55"/>
    </row>
    <row r="111" spans="7:7" x14ac:dyDescent="0.25">
      <c r="G111" s="55"/>
    </row>
    <row r="112" spans="7:7" x14ac:dyDescent="0.25">
      <c r="G112" s="55"/>
    </row>
    <row r="113" spans="7:7" x14ac:dyDescent="0.25">
      <c r="G113" s="55"/>
    </row>
    <row r="114" spans="7:7" x14ac:dyDescent="0.25">
      <c r="G114" s="55"/>
    </row>
    <row r="115" spans="7:7" x14ac:dyDescent="0.25">
      <c r="G115" s="55"/>
    </row>
    <row r="116" spans="7:7" x14ac:dyDescent="0.25">
      <c r="G116" s="55">
        <f>G2-SUM(G5:G115)</f>
        <v>923188</v>
      </c>
    </row>
  </sheetData>
  <pageMargins left="0.7" right="0.7" top="0.75" bottom="0.75" header="0.3" footer="0.3"/>
  <pageSetup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5F6DD-345D-42F6-BD65-F33CD8F99ED6}">
  <dimension ref="A1:D66"/>
  <sheetViews>
    <sheetView tabSelected="1" workbookViewId="0">
      <selection activeCell="B27" sqref="B27"/>
    </sheetView>
  </sheetViews>
  <sheetFormatPr defaultRowHeight="15" x14ac:dyDescent="0.25"/>
  <cols>
    <col min="1" max="1" width="192.5703125" bestFit="1" customWidth="1"/>
    <col min="2" max="2" width="18.28515625" bestFit="1" customWidth="1"/>
    <col min="3" max="3" width="30.7109375" bestFit="1" customWidth="1"/>
    <col min="4" max="4" width="26.140625" bestFit="1" customWidth="1"/>
  </cols>
  <sheetData>
    <row r="1" spans="1:4" x14ac:dyDescent="0.25">
      <c r="A1" s="10" t="s">
        <v>47</v>
      </c>
      <c r="B1" t="s">
        <v>338</v>
      </c>
    </row>
    <row r="3" spans="1:4" x14ac:dyDescent="0.25">
      <c r="A3" s="10" t="s">
        <v>330</v>
      </c>
      <c r="B3" t="s">
        <v>247</v>
      </c>
      <c r="C3" t="s">
        <v>248</v>
      </c>
      <c r="D3" t="s">
        <v>571</v>
      </c>
    </row>
    <row r="4" spans="1:4" x14ac:dyDescent="0.25">
      <c r="A4" s="3" t="s">
        <v>250</v>
      </c>
      <c r="B4" s="16">
        <v>1440778</v>
      </c>
      <c r="C4" s="16">
        <v>1409307.8</v>
      </c>
      <c r="D4" s="101">
        <v>0.97815749546425612</v>
      </c>
    </row>
    <row r="5" spans="1:4" x14ac:dyDescent="0.25">
      <c r="A5" s="11" t="s">
        <v>139</v>
      </c>
      <c r="B5" s="16">
        <v>1440778</v>
      </c>
      <c r="C5" s="16">
        <v>1409307.8</v>
      </c>
      <c r="D5" s="101">
        <v>0.97815749546425612</v>
      </c>
    </row>
    <row r="6" spans="1:4" x14ac:dyDescent="0.25">
      <c r="A6" s="3" t="s">
        <v>251</v>
      </c>
      <c r="B6" s="16">
        <v>194388.1</v>
      </c>
      <c r="C6" s="16">
        <v>160643</v>
      </c>
      <c r="D6" s="101">
        <v>0.8264034681135316</v>
      </c>
    </row>
    <row r="7" spans="1:4" x14ac:dyDescent="0.25">
      <c r="A7" s="11" t="s">
        <v>136</v>
      </c>
      <c r="B7" s="16">
        <v>194388.1</v>
      </c>
      <c r="C7" s="16">
        <v>160643</v>
      </c>
      <c r="D7" s="101">
        <v>0.8264034681135316</v>
      </c>
    </row>
    <row r="8" spans="1:4" x14ac:dyDescent="0.25">
      <c r="A8" s="3" t="s">
        <v>252</v>
      </c>
      <c r="B8" s="16">
        <v>2855053.15</v>
      </c>
      <c r="C8" s="16">
        <v>2398243.2000000002</v>
      </c>
      <c r="D8" s="101">
        <v>0.83999949352956893</v>
      </c>
    </row>
    <row r="9" spans="1:4" x14ac:dyDescent="0.25">
      <c r="A9" s="11" t="s">
        <v>138</v>
      </c>
      <c r="B9" s="16">
        <v>1283163.75</v>
      </c>
      <c r="C9" s="16">
        <v>814323.71</v>
      </c>
      <c r="D9" s="101">
        <v>0.63462181658420447</v>
      </c>
    </row>
    <row r="10" spans="1:4" x14ac:dyDescent="0.25">
      <c r="A10" s="11" t="s">
        <v>394</v>
      </c>
      <c r="B10" s="16">
        <v>1571889.4</v>
      </c>
      <c r="C10" s="16">
        <v>1583919.49</v>
      </c>
      <c r="D10" s="101">
        <v>1.0076532674627108</v>
      </c>
    </row>
    <row r="11" spans="1:4" x14ac:dyDescent="0.25">
      <c r="A11" s="3" t="s">
        <v>253</v>
      </c>
      <c r="B11" s="16">
        <v>12214282.77</v>
      </c>
      <c r="C11" s="16">
        <v>15389907.900000002</v>
      </c>
      <c r="D11" s="101">
        <v>1.2599927633736943</v>
      </c>
    </row>
    <row r="12" spans="1:4" x14ac:dyDescent="0.25">
      <c r="A12" s="11" t="s">
        <v>163</v>
      </c>
      <c r="B12" s="16">
        <v>1256246.21</v>
      </c>
      <c r="C12" s="16">
        <v>1284528.26</v>
      </c>
      <c r="D12" s="101">
        <v>1.0225131425471128</v>
      </c>
    </row>
    <row r="13" spans="1:4" x14ac:dyDescent="0.25">
      <c r="A13" s="11" t="s">
        <v>386</v>
      </c>
      <c r="B13" s="16">
        <v>1317872.6499999999</v>
      </c>
      <c r="C13" s="16">
        <v>1401355.78</v>
      </c>
      <c r="D13" s="101">
        <v>1.0633468871214531</v>
      </c>
    </row>
    <row r="14" spans="1:4" x14ac:dyDescent="0.25">
      <c r="A14" s="11" t="s">
        <v>91</v>
      </c>
      <c r="B14" s="16">
        <v>2934292.9</v>
      </c>
      <c r="C14" s="16">
        <v>2878865.0300000003</v>
      </c>
      <c r="D14" s="101">
        <v>0.98111031451563691</v>
      </c>
    </row>
    <row r="15" spans="1:4" x14ac:dyDescent="0.25">
      <c r="A15" s="11" t="s">
        <v>140</v>
      </c>
      <c r="B15" s="16">
        <v>776718.91</v>
      </c>
      <c r="C15" s="16">
        <v>743263.53</v>
      </c>
      <c r="D15" s="101">
        <v>0.95692730076573007</v>
      </c>
    </row>
    <row r="16" spans="1:4" x14ac:dyDescent="0.25">
      <c r="A16" s="11" t="s">
        <v>413</v>
      </c>
      <c r="B16" s="16">
        <v>5262486.0999999996</v>
      </c>
      <c r="C16" s="16">
        <v>8417881.3000000007</v>
      </c>
      <c r="D16" s="101">
        <v>1.5996016217506022</v>
      </c>
    </row>
    <row r="17" spans="1:4" x14ac:dyDescent="0.25">
      <c r="A17" s="11" t="s">
        <v>162</v>
      </c>
      <c r="B17" s="16">
        <v>666666</v>
      </c>
      <c r="C17" s="16">
        <v>664014</v>
      </c>
      <c r="D17" s="101">
        <v>0.99602199602199604</v>
      </c>
    </row>
    <row r="18" spans="1:4" x14ac:dyDescent="0.25">
      <c r="A18" s="3" t="s">
        <v>254</v>
      </c>
      <c r="B18" s="16">
        <v>24913372.66</v>
      </c>
      <c r="C18" s="16">
        <v>24130984.837312579</v>
      </c>
      <c r="D18" s="101">
        <v>0.96859566814317322</v>
      </c>
    </row>
    <row r="19" spans="1:4" x14ac:dyDescent="0.25">
      <c r="A19" s="11" t="s">
        <v>186</v>
      </c>
      <c r="B19" s="16">
        <v>4252314.2300000004</v>
      </c>
      <c r="C19" s="16">
        <v>4254540.83</v>
      </c>
      <c r="D19" s="101">
        <v>1.0005236207579136</v>
      </c>
    </row>
    <row r="20" spans="1:4" x14ac:dyDescent="0.25">
      <c r="A20" s="11" t="s">
        <v>148</v>
      </c>
      <c r="B20" s="16">
        <v>127952</v>
      </c>
      <c r="C20" s="16">
        <v>128224.62</v>
      </c>
      <c r="D20" s="101">
        <v>1.0021306427410279</v>
      </c>
    </row>
    <row r="21" spans="1:4" x14ac:dyDescent="0.25">
      <c r="A21" s="11" t="s">
        <v>27</v>
      </c>
      <c r="B21" s="16">
        <v>3791558.69</v>
      </c>
      <c r="C21" s="16">
        <v>3472507.52</v>
      </c>
      <c r="D21" s="101">
        <v>0.91585224017724487</v>
      </c>
    </row>
    <row r="22" spans="1:4" x14ac:dyDescent="0.25">
      <c r="A22" s="11" t="s">
        <v>147</v>
      </c>
      <c r="B22" s="16">
        <v>206340</v>
      </c>
      <c r="C22" s="16">
        <v>176305.2</v>
      </c>
      <c r="D22" s="101">
        <v>0.85444024425705156</v>
      </c>
    </row>
    <row r="23" spans="1:4" x14ac:dyDescent="0.25">
      <c r="A23" s="11" t="s">
        <v>176</v>
      </c>
      <c r="B23" s="16">
        <v>2133380.02</v>
      </c>
      <c r="C23" s="16">
        <v>2004436.7073125744</v>
      </c>
      <c r="D23" s="101">
        <v>0.93955914488810777</v>
      </c>
    </row>
    <row r="24" spans="1:4" x14ac:dyDescent="0.25">
      <c r="A24" s="11" t="s">
        <v>146</v>
      </c>
      <c r="B24" s="16">
        <v>2185487.58</v>
      </c>
      <c r="C24" s="16">
        <v>2297135.21</v>
      </c>
      <c r="D24" s="101">
        <v>1.051085913743788</v>
      </c>
    </row>
    <row r="25" spans="1:4" x14ac:dyDescent="0.25">
      <c r="A25" s="11" t="s">
        <v>182</v>
      </c>
      <c r="B25" s="16">
        <v>995778.8</v>
      </c>
      <c r="C25" s="16">
        <v>874041.48</v>
      </c>
      <c r="D25" s="101">
        <v>0.87774662404943737</v>
      </c>
    </row>
    <row r="26" spans="1:4" x14ac:dyDescent="0.25">
      <c r="A26" s="11" t="s">
        <v>175</v>
      </c>
      <c r="B26" s="16">
        <v>1430118.6</v>
      </c>
      <c r="C26" s="16">
        <v>1427992.7000000002</v>
      </c>
      <c r="D26" s="101">
        <v>0.99851347993096529</v>
      </c>
    </row>
    <row r="27" spans="1:4" x14ac:dyDescent="0.25">
      <c r="A27" s="11" t="s">
        <v>56</v>
      </c>
      <c r="B27" s="16">
        <v>111600</v>
      </c>
      <c r="C27" s="16"/>
      <c r="D27" s="101">
        <v>0</v>
      </c>
    </row>
    <row r="28" spans="1:4" x14ac:dyDescent="0.25">
      <c r="A28" s="11" t="s">
        <v>149</v>
      </c>
      <c r="B28" s="16">
        <v>2286813.7999999998</v>
      </c>
      <c r="C28" s="16">
        <v>2347765.5099999998</v>
      </c>
      <c r="D28" s="101">
        <v>1.0266535517670918</v>
      </c>
    </row>
    <row r="29" spans="1:4" x14ac:dyDescent="0.25">
      <c r="A29" s="11" t="s">
        <v>157</v>
      </c>
      <c r="B29" s="16">
        <v>4114430.8000000003</v>
      </c>
      <c r="C29" s="16">
        <v>3811279.41</v>
      </c>
      <c r="D29" s="101">
        <v>0.92631996873054712</v>
      </c>
    </row>
    <row r="30" spans="1:4" x14ac:dyDescent="0.25">
      <c r="A30" s="11" t="s">
        <v>150</v>
      </c>
      <c r="B30" s="16">
        <v>990785.1399999999</v>
      </c>
      <c r="C30" s="16">
        <v>988990.14</v>
      </c>
      <c r="D30" s="101">
        <v>0.99818830548871584</v>
      </c>
    </row>
    <row r="31" spans="1:4" x14ac:dyDescent="0.25">
      <c r="A31" s="11" t="s">
        <v>194</v>
      </c>
      <c r="B31" s="16">
        <v>2286813</v>
      </c>
      <c r="C31" s="16">
        <v>2347765.5099999998</v>
      </c>
      <c r="D31" s="101">
        <v>1.0266539109231929</v>
      </c>
    </row>
    <row r="32" spans="1:4" x14ac:dyDescent="0.25">
      <c r="A32" s="3" t="s">
        <v>255</v>
      </c>
      <c r="B32" s="16">
        <v>15849549.17</v>
      </c>
      <c r="C32" s="16">
        <v>15419162.799999999</v>
      </c>
      <c r="D32" s="101">
        <v>0.97284551343487813</v>
      </c>
    </row>
    <row r="33" spans="1:4" x14ac:dyDescent="0.25">
      <c r="A33" s="11" t="s">
        <v>20</v>
      </c>
      <c r="B33" s="16">
        <v>228269.5</v>
      </c>
      <c r="C33" s="16">
        <v>227964.9</v>
      </c>
      <c r="D33" s="101">
        <v>0.99866561235732321</v>
      </c>
    </row>
    <row r="34" spans="1:4" x14ac:dyDescent="0.25">
      <c r="A34" s="11" t="s">
        <v>151</v>
      </c>
      <c r="B34" s="16">
        <v>846926.84</v>
      </c>
      <c r="C34" s="16">
        <v>867082.40099999995</v>
      </c>
      <c r="D34" s="101">
        <v>1.0237984676456824</v>
      </c>
    </row>
    <row r="35" spans="1:4" x14ac:dyDescent="0.25">
      <c r="A35" s="11" t="s">
        <v>209</v>
      </c>
      <c r="B35" s="16">
        <v>4203260.58</v>
      </c>
      <c r="C35" s="16">
        <v>3446543.0789999999</v>
      </c>
      <c r="D35" s="101">
        <v>0.81996892969219626</v>
      </c>
    </row>
    <row r="36" spans="1:4" x14ac:dyDescent="0.25">
      <c r="A36" s="11" t="s">
        <v>425</v>
      </c>
      <c r="B36" s="16">
        <v>75615.399999999994</v>
      </c>
      <c r="C36" s="16">
        <v>61147.72</v>
      </c>
      <c r="D36" s="101">
        <v>0.80866754655797635</v>
      </c>
    </row>
    <row r="37" spans="1:4" x14ac:dyDescent="0.25">
      <c r="A37" s="11" t="s">
        <v>438</v>
      </c>
      <c r="B37" s="16">
        <v>2125500</v>
      </c>
      <c r="C37" s="16">
        <v>2282092.96</v>
      </c>
      <c r="D37" s="101">
        <v>1.0736734697718184</v>
      </c>
    </row>
    <row r="38" spans="1:4" x14ac:dyDescent="0.25">
      <c r="A38" s="11" t="s">
        <v>152</v>
      </c>
      <c r="B38" s="16">
        <v>3047987.2000000002</v>
      </c>
      <c r="C38" s="16">
        <v>2989186.52</v>
      </c>
      <c r="D38" s="101">
        <v>0.98070835730543748</v>
      </c>
    </row>
    <row r="39" spans="1:4" x14ac:dyDescent="0.25">
      <c r="A39" s="11" t="s">
        <v>153</v>
      </c>
      <c r="B39" s="16">
        <v>794593.95</v>
      </c>
      <c r="C39" s="16">
        <v>786763.59</v>
      </c>
      <c r="D39" s="101">
        <v>0.99014545731187609</v>
      </c>
    </row>
    <row r="40" spans="1:4" x14ac:dyDescent="0.25">
      <c r="A40" s="11" t="s">
        <v>391</v>
      </c>
      <c r="B40" s="16">
        <v>941044.5</v>
      </c>
      <c r="C40" s="16">
        <v>1215121.6200000001</v>
      </c>
      <c r="D40" s="101">
        <v>1.2912477783994276</v>
      </c>
    </row>
    <row r="41" spans="1:4" x14ac:dyDescent="0.25">
      <c r="A41" s="11" t="s">
        <v>213</v>
      </c>
      <c r="B41" s="16">
        <v>103062.3</v>
      </c>
      <c r="C41" s="16">
        <v>103933.3</v>
      </c>
      <c r="D41" s="101">
        <v>1.0084511989350131</v>
      </c>
    </row>
    <row r="42" spans="1:4" x14ac:dyDescent="0.25">
      <c r="A42" s="11" t="s">
        <v>204</v>
      </c>
      <c r="B42" s="16">
        <v>2034969.9</v>
      </c>
      <c r="C42" s="16">
        <v>2098808.7199999997</v>
      </c>
      <c r="D42" s="101">
        <v>1.0313708915301401</v>
      </c>
    </row>
    <row r="43" spans="1:4" x14ac:dyDescent="0.25">
      <c r="A43" s="11" t="s">
        <v>192</v>
      </c>
      <c r="B43" s="16">
        <v>94500</v>
      </c>
      <c r="C43" s="16">
        <v>91500</v>
      </c>
      <c r="D43" s="101">
        <v>0.96825396825396826</v>
      </c>
    </row>
    <row r="44" spans="1:4" x14ac:dyDescent="0.25">
      <c r="A44" s="11" t="s">
        <v>220</v>
      </c>
      <c r="B44" s="16">
        <v>1353819</v>
      </c>
      <c r="C44" s="16">
        <v>1249017.99</v>
      </c>
      <c r="D44" s="101">
        <v>0.92258861044201623</v>
      </c>
    </row>
    <row r="45" spans="1:4" x14ac:dyDescent="0.25">
      <c r="A45" s="3" t="s">
        <v>256</v>
      </c>
      <c r="B45" s="16">
        <v>8145518.3499999996</v>
      </c>
      <c r="C45" s="16">
        <v>8615799.4299999997</v>
      </c>
      <c r="D45" s="101">
        <v>1.0577349482000735</v>
      </c>
    </row>
    <row r="46" spans="1:4" x14ac:dyDescent="0.25">
      <c r="A46" s="11" t="s">
        <v>136</v>
      </c>
      <c r="B46" s="16">
        <v>1187598.8899999999</v>
      </c>
      <c r="C46" s="16">
        <v>1244526.1299999999</v>
      </c>
      <c r="D46" s="101">
        <v>1.0479347366180176</v>
      </c>
    </row>
    <row r="47" spans="1:4" x14ac:dyDescent="0.25">
      <c r="A47" s="11" t="s">
        <v>361</v>
      </c>
      <c r="B47" s="16">
        <v>95143.17</v>
      </c>
      <c r="C47" s="16">
        <v>114156.63</v>
      </c>
      <c r="D47" s="101">
        <v>1.1998405140379493</v>
      </c>
    </row>
    <row r="48" spans="1:4" x14ac:dyDescent="0.25">
      <c r="A48" s="11" t="s">
        <v>342</v>
      </c>
      <c r="B48" s="16">
        <v>1566927.57</v>
      </c>
      <c r="C48" s="16">
        <v>1809153.37</v>
      </c>
      <c r="D48" s="101">
        <v>1.1545864688563747</v>
      </c>
    </row>
    <row r="49" spans="1:4" x14ac:dyDescent="0.25">
      <c r="A49" s="11" t="s">
        <v>205</v>
      </c>
      <c r="B49" s="16">
        <v>364298.69999999995</v>
      </c>
      <c r="C49" s="16">
        <v>788082.61</v>
      </c>
      <c r="D49" s="101">
        <v>2.1632869126351539</v>
      </c>
    </row>
    <row r="50" spans="1:4" x14ac:dyDescent="0.25">
      <c r="A50" s="11" t="s">
        <v>239</v>
      </c>
      <c r="B50" s="16">
        <v>1828001.3599999999</v>
      </c>
      <c r="C50" s="16">
        <v>1656589.29</v>
      </c>
      <c r="D50" s="101">
        <v>0.9062297907699588</v>
      </c>
    </row>
    <row r="51" spans="1:4" x14ac:dyDescent="0.25">
      <c r="A51" s="11" t="s">
        <v>195</v>
      </c>
      <c r="B51" s="16">
        <v>808389.46</v>
      </c>
      <c r="C51" s="16">
        <v>890901.93</v>
      </c>
      <c r="D51" s="101">
        <v>1.1020701952249601</v>
      </c>
    </row>
    <row r="52" spans="1:4" x14ac:dyDescent="0.25">
      <c r="A52" s="11" t="s">
        <v>343</v>
      </c>
      <c r="B52" s="16">
        <v>346858.5</v>
      </c>
      <c r="C52" s="16">
        <v>377690.15</v>
      </c>
      <c r="D52" s="101">
        <v>1.088888264234551</v>
      </c>
    </row>
    <row r="53" spans="1:4" x14ac:dyDescent="0.25">
      <c r="A53" s="11" t="s">
        <v>238</v>
      </c>
      <c r="B53" s="16">
        <v>1015443</v>
      </c>
      <c r="C53" s="16">
        <v>1191940.1200000001</v>
      </c>
      <c r="D53" s="101">
        <v>1.1738129269688207</v>
      </c>
    </row>
    <row r="54" spans="1:4" x14ac:dyDescent="0.25">
      <c r="A54" s="11" t="s">
        <v>346</v>
      </c>
      <c r="B54" s="16">
        <v>551057.69999999995</v>
      </c>
      <c r="C54" s="16">
        <v>542759.19999999995</v>
      </c>
      <c r="D54" s="101">
        <v>0.98494077843390992</v>
      </c>
    </row>
    <row r="55" spans="1:4" x14ac:dyDescent="0.25">
      <c r="A55" s="11" t="s">
        <v>236</v>
      </c>
      <c r="B55" s="16">
        <v>381800</v>
      </c>
      <c r="C55" s="16"/>
      <c r="D55" s="101">
        <v>0</v>
      </c>
    </row>
    <row r="56" spans="1:4" x14ac:dyDescent="0.25">
      <c r="A56" s="3" t="s">
        <v>257</v>
      </c>
      <c r="B56" s="16">
        <v>2231591.5</v>
      </c>
      <c r="C56" s="16">
        <v>345550.5</v>
      </c>
      <c r="D56" s="101">
        <v>0.15484487192212373</v>
      </c>
    </row>
    <row r="57" spans="1:4" x14ac:dyDescent="0.25">
      <c r="A57" s="11" t="s">
        <v>143</v>
      </c>
      <c r="B57" s="16">
        <v>2036000</v>
      </c>
      <c r="C57" s="16">
        <v>167994</v>
      </c>
      <c r="D57" s="101">
        <v>8.2511787819253432E-2</v>
      </c>
    </row>
    <row r="58" spans="1:4" x14ac:dyDescent="0.25">
      <c r="A58" s="11" t="s">
        <v>362</v>
      </c>
      <c r="B58" s="16">
        <v>90681</v>
      </c>
      <c r="C58" s="16">
        <v>72848</v>
      </c>
      <c r="D58" s="101">
        <v>0.80334358906496395</v>
      </c>
    </row>
    <row r="59" spans="1:4" x14ac:dyDescent="0.25">
      <c r="A59" s="11" t="s">
        <v>415</v>
      </c>
      <c r="B59" s="16">
        <v>0</v>
      </c>
      <c r="C59" s="16">
        <v>0</v>
      </c>
      <c r="D59" s="101" t="e">
        <v>#DIV/0!</v>
      </c>
    </row>
    <row r="60" spans="1:4" x14ac:dyDescent="0.25">
      <c r="A60" s="11" t="s">
        <v>155</v>
      </c>
      <c r="B60" s="16"/>
      <c r="C60" s="16"/>
      <c r="D60" s="101" t="e">
        <v>#DIV/0!</v>
      </c>
    </row>
    <row r="61" spans="1:4" x14ac:dyDescent="0.25">
      <c r="A61" s="11" t="s">
        <v>298</v>
      </c>
      <c r="B61" s="16">
        <v>104910.5</v>
      </c>
      <c r="C61" s="16">
        <v>104708.5</v>
      </c>
      <c r="D61" s="101">
        <v>0.9980745492586538</v>
      </c>
    </row>
    <row r="62" spans="1:4" x14ac:dyDescent="0.25">
      <c r="A62" s="11" t="s">
        <v>417</v>
      </c>
      <c r="B62" s="16"/>
      <c r="C62" s="16"/>
      <c r="D62" s="101" t="e">
        <v>#DIV/0!</v>
      </c>
    </row>
    <row r="63" spans="1:4" x14ac:dyDescent="0.25">
      <c r="A63" s="11" t="s">
        <v>156</v>
      </c>
      <c r="B63" s="16"/>
      <c r="C63" s="16"/>
      <c r="D63" s="101" t="e">
        <v>#DIV/0!</v>
      </c>
    </row>
    <row r="64" spans="1:4" x14ac:dyDescent="0.25">
      <c r="A64" s="3" t="s">
        <v>273</v>
      </c>
      <c r="B64" s="16">
        <v>49942.46</v>
      </c>
      <c r="C64" s="16">
        <v>49942.46</v>
      </c>
      <c r="D64" s="101">
        <v>1</v>
      </c>
    </row>
    <row r="65" spans="1:4" x14ac:dyDescent="0.25">
      <c r="A65" s="11" t="s">
        <v>466</v>
      </c>
      <c r="B65" s="16">
        <v>49942.46</v>
      </c>
      <c r="C65" s="16">
        <v>49942.46</v>
      </c>
      <c r="D65" s="101">
        <v>1</v>
      </c>
    </row>
    <row r="66" spans="1:4" x14ac:dyDescent="0.25">
      <c r="A66" s="3" t="s">
        <v>245</v>
      </c>
      <c r="B66" s="16">
        <v>67894476.160000011</v>
      </c>
      <c r="C66" s="16">
        <v>67919541.927312553</v>
      </c>
      <c r="D66" s="101">
        <v>1.0003691871376026</v>
      </c>
    </row>
  </sheetData>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9DF13-3FC4-4FCD-BC02-1805508F7921}">
  <dimension ref="A1:J64"/>
  <sheetViews>
    <sheetView workbookViewId="0">
      <selection activeCell="H54" sqref="H54"/>
    </sheetView>
  </sheetViews>
  <sheetFormatPr defaultRowHeight="15" x14ac:dyDescent="0.25"/>
  <cols>
    <col min="2" max="2" width="35.28515625" customWidth="1"/>
    <col min="4" max="4" width="27.5703125" customWidth="1"/>
    <col min="6" max="6" width="27.7109375" customWidth="1"/>
    <col min="8" max="8" width="29.85546875" customWidth="1"/>
    <col min="10" max="10" width="29.5703125" customWidth="1"/>
  </cols>
  <sheetData>
    <row r="1" spans="1:10" x14ac:dyDescent="0.25">
      <c r="B1" s="3"/>
    </row>
    <row r="2" spans="1:10" x14ac:dyDescent="0.25">
      <c r="B2" s="3"/>
    </row>
    <row r="3" spans="1:10" x14ac:dyDescent="0.25">
      <c r="B3" s="3"/>
    </row>
    <row r="4" spans="1:10" x14ac:dyDescent="0.25">
      <c r="B4" s="3"/>
    </row>
    <row r="5" spans="1:10" x14ac:dyDescent="0.25">
      <c r="B5" s="3"/>
    </row>
    <row r="6" spans="1:10" x14ac:dyDescent="0.25">
      <c r="B6" s="3"/>
    </row>
    <row r="7" spans="1:10" x14ac:dyDescent="0.25">
      <c r="B7" s="3"/>
    </row>
    <row r="8" spans="1:10" x14ac:dyDescent="0.25">
      <c r="A8" s="104" t="s">
        <v>82</v>
      </c>
      <c r="B8" s="104"/>
      <c r="C8" s="104" t="s">
        <v>106</v>
      </c>
      <c r="D8" s="104"/>
      <c r="E8" s="104" t="s">
        <v>124</v>
      </c>
      <c r="F8" s="104"/>
      <c r="G8" s="104" t="s">
        <v>70</v>
      </c>
      <c r="H8" s="104"/>
      <c r="I8" s="104" t="s">
        <v>115</v>
      </c>
      <c r="J8" s="104"/>
    </row>
    <row r="9" spans="1:10" x14ac:dyDescent="0.25">
      <c r="A9">
        <v>30</v>
      </c>
      <c r="B9" t="s">
        <v>178</v>
      </c>
      <c r="C9">
        <v>80</v>
      </c>
      <c r="D9" t="s">
        <v>107</v>
      </c>
      <c r="G9">
        <v>419</v>
      </c>
      <c r="H9" t="s">
        <v>97</v>
      </c>
      <c r="I9">
        <v>7501</v>
      </c>
      <c r="J9" t="s">
        <v>117</v>
      </c>
    </row>
    <row r="10" spans="1:10" x14ac:dyDescent="0.25">
      <c r="A10">
        <v>60</v>
      </c>
      <c r="B10" t="s">
        <v>128</v>
      </c>
      <c r="C10">
        <v>81</v>
      </c>
      <c r="D10" t="s">
        <v>108</v>
      </c>
      <c r="G10">
        <v>429</v>
      </c>
      <c r="H10" t="s">
        <v>95</v>
      </c>
      <c r="I10">
        <v>7502</v>
      </c>
      <c r="J10" t="s">
        <v>118</v>
      </c>
    </row>
    <row r="11" spans="1:10" x14ac:dyDescent="0.25">
      <c r="A11">
        <v>87</v>
      </c>
      <c r="B11" t="s">
        <v>34</v>
      </c>
      <c r="C11">
        <v>82</v>
      </c>
      <c r="D11" t="s">
        <v>109</v>
      </c>
      <c r="G11">
        <v>431</v>
      </c>
      <c r="H11" t="s">
        <v>92</v>
      </c>
      <c r="I11">
        <v>7503</v>
      </c>
      <c r="J11" t="s">
        <v>119</v>
      </c>
    </row>
    <row r="12" spans="1:10" x14ac:dyDescent="0.25">
      <c r="A12">
        <v>122</v>
      </c>
      <c r="B12" t="s">
        <v>126</v>
      </c>
      <c r="C12">
        <v>83</v>
      </c>
      <c r="D12" t="s">
        <v>110</v>
      </c>
      <c r="G12">
        <v>432</v>
      </c>
      <c r="H12" t="s">
        <v>93</v>
      </c>
      <c r="I12">
        <v>7511</v>
      </c>
      <c r="J12" t="s">
        <v>120</v>
      </c>
    </row>
    <row r="13" spans="1:10" x14ac:dyDescent="0.25">
      <c r="A13">
        <v>310</v>
      </c>
      <c r="B13" s="3" t="s">
        <v>71</v>
      </c>
      <c r="C13">
        <v>84</v>
      </c>
      <c r="D13" t="s">
        <v>111</v>
      </c>
      <c r="G13">
        <v>434</v>
      </c>
      <c r="H13" t="s">
        <v>94</v>
      </c>
      <c r="I13">
        <v>7514</v>
      </c>
      <c r="J13" t="s">
        <v>116</v>
      </c>
    </row>
    <row r="14" spans="1:10" x14ac:dyDescent="0.25">
      <c r="A14">
        <v>320</v>
      </c>
      <c r="B14" s="3" t="s">
        <v>72</v>
      </c>
      <c r="C14">
        <v>85</v>
      </c>
      <c r="D14" t="s">
        <v>112</v>
      </c>
      <c r="G14">
        <v>438</v>
      </c>
      <c r="H14" t="s">
        <v>96</v>
      </c>
      <c r="I14">
        <v>7517</v>
      </c>
      <c r="J14" t="s">
        <v>121</v>
      </c>
    </row>
    <row r="15" spans="1:10" x14ac:dyDescent="0.25">
      <c r="A15">
        <v>330</v>
      </c>
      <c r="B15" s="3" t="s">
        <v>73</v>
      </c>
      <c r="C15">
        <v>86</v>
      </c>
      <c r="D15" t="s">
        <v>113</v>
      </c>
      <c r="G15">
        <v>469</v>
      </c>
      <c r="H15" t="s">
        <v>98</v>
      </c>
      <c r="I15">
        <v>7519</v>
      </c>
      <c r="J15" t="s">
        <v>122</v>
      </c>
    </row>
    <row r="16" spans="1:10" x14ac:dyDescent="0.25">
      <c r="A16">
        <v>340</v>
      </c>
      <c r="B16" s="3" t="s">
        <v>74</v>
      </c>
      <c r="C16">
        <v>87</v>
      </c>
      <c r="D16" t="s">
        <v>114</v>
      </c>
      <c r="G16">
        <v>471</v>
      </c>
      <c r="H16" t="s">
        <v>99</v>
      </c>
      <c r="I16">
        <v>7520</v>
      </c>
      <c r="J16" t="s">
        <v>123</v>
      </c>
    </row>
    <row r="17" spans="1:8" x14ac:dyDescent="0.25">
      <c r="A17">
        <v>344</v>
      </c>
      <c r="B17" s="3" t="s">
        <v>75</v>
      </c>
      <c r="G17">
        <v>472</v>
      </c>
      <c r="H17" t="s">
        <v>100</v>
      </c>
    </row>
    <row r="18" spans="1:8" x14ac:dyDescent="0.25">
      <c r="A18">
        <v>380</v>
      </c>
      <c r="B18" s="17" t="s">
        <v>259</v>
      </c>
      <c r="G18">
        <v>474</v>
      </c>
      <c r="H18" t="s">
        <v>101</v>
      </c>
    </row>
    <row r="19" spans="1:8" x14ac:dyDescent="0.25">
      <c r="A19">
        <v>381</v>
      </c>
      <c r="B19" s="17" t="s">
        <v>260</v>
      </c>
      <c r="G19">
        <v>478</v>
      </c>
      <c r="H19" t="s">
        <v>102</v>
      </c>
    </row>
    <row r="20" spans="1:8" x14ac:dyDescent="0.25">
      <c r="A20">
        <v>382</v>
      </c>
      <c r="B20" s="17" t="s">
        <v>261</v>
      </c>
      <c r="G20">
        <v>482</v>
      </c>
      <c r="H20" t="s">
        <v>84</v>
      </c>
    </row>
    <row r="21" spans="1:8" x14ac:dyDescent="0.25">
      <c r="A21">
        <v>383</v>
      </c>
      <c r="B21" s="17" t="s">
        <v>262</v>
      </c>
      <c r="G21">
        <v>483</v>
      </c>
      <c r="H21" t="s">
        <v>80</v>
      </c>
    </row>
    <row r="22" spans="1:8" x14ac:dyDescent="0.25">
      <c r="A22">
        <v>384</v>
      </c>
      <c r="B22" s="17" t="s">
        <v>263</v>
      </c>
      <c r="G22">
        <v>484</v>
      </c>
      <c r="H22" t="s">
        <v>83</v>
      </c>
    </row>
    <row r="23" spans="1:8" x14ac:dyDescent="0.25">
      <c r="A23">
        <v>385</v>
      </c>
      <c r="B23" s="17" t="s">
        <v>264</v>
      </c>
      <c r="G23">
        <v>485</v>
      </c>
      <c r="H23" t="s">
        <v>103</v>
      </c>
    </row>
    <row r="24" spans="1:8" x14ac:dyDescent="0.25">
      <c r="A24">
        <v>386</v>
      </c>
      <c r="B24" s="17" t="s">
        <v>265</v>
      </c>
      <c r="G24">
        <v>486</v>
      </c>
      <c r="H24" t="s">
        <v>104</v>
      </c>
    </row>
    <row r="25" spans="1:8" x14ac:dyDescent="0.25">
      <c r="A25">
        <v>387</v>
      </c>
      <c r="B25" s="17" t="s">
        <v>266</v>
      </c>
      <c r="G25">
        <v>489</v>
      </c>
      <c r="H25" t="s">
        <v>105</v>
      </c>
    </row>
    <row r="26" spans="1:8" x14ac:dyDescent="0.25">
      <c r="A26">
        <v>388</v>
      </c>
      <c r="B26" s="17" t="s">
        <v>267</v>
      </c>
    </row>
    <row r="27" spans="1:8" x14ac:dyDescent="0.25">
      <c r="A27">
        <v>389</v>
      </c>
      <c r="B27" s="3" t="s">
        <v>86</v>
      </c>
    </row>
    <row r="28" spans="1:8" x14ac:dyDescent="0.25">
      <c r="A28">
        <v>390</v>
      </c>
      <c r="B28" s="3" t="s">
        <v>87</v>
      </c>
    </row>
    <row r="29" spans="1:8" x14ac:dyDescent="0.25">
      <c r="A29">
        <v>391</v>
      </c>
      <c r="B29" s="3" t="s">
        <v>88</v>
      </c>
    </row>
    <row r="30" spans="1:8" x14ac:dyDescent="0.25">
      <c r="A30">
        <v>392</v>
      </c>
      <c r="B30" s="3" t="s">
        <v>520</v>
      </c>
    </row>
    <row r="31" spans="1:8" x14ac:dyDescent="0.25">
      <c r="A31">
        <v>393</v>
      </c>
      <c r="B31" s="3" t="s">
        <v>518</v>
      </c>
    </row>
    <row r="32" spans="1:8" x14ac:dyDescent="0.25">
      <c r="A32">
        <v>394</v>
      </c>
      <c r="B32" s="3" t="s">
        <v>519</v>
      </c>
    </row>
    <row r="33" spans="1:2" x14ac:dyDescent="0.25">
      <c r="A33">
        <v>510</v>
      </c>
      <c r="B33" s="3" t="s">
        <v>84</v>
      </c>
    </row>
    <row r="34" spans="1:2" x14ac:dyDescent="0.25">
      <c r="A34">
        <v>512</v>
      </c>
      <c r="B34" s="3" t="s">
        <v>76</v>
      </c>
    </row>
    <row r="35" spans="1:2" x14ac:dyDescent="0.25">
      <c r="A35">
        <v>520</v>
      </c>
      <c r="B35" s="3" t="s">
        <v>83</v>
      </c>
    </row>
    <row r="36" spans="1:2" x14ac:dyDescent="0.25">
      <c r="A36">
        <v>522</v>
      </c>
      <c r="B36" s="3" t="s">
        <v>377</v>
      </c>
    </row>
    <row r="37" spans="1:2" x14ac:dyDescent="0.25">
      <c r="A37">
        <v>530</v>
      </c>
      <c r="B37" s="3" t="s">
        <v>103</v>
      </c>
    </row>
    <row r="38" spans="1:2" x14ac:dyDescent="0.25">
      <c r="A38">
        <v>550</v>
      </c>
      <c r="B38" s="3" t="s">
        <v>77</v>
      </c>
    </row>
    <row r="39" spans="1:2" x14ac:dyDescent="0.25">
      <c r="A39">
        <v>551</v>
      </c>
      <c r="B39" s="3" t="s">
        <v>78</v>
      </c>
    </row>
    <row r="40" spans="1:2" x14ac:dyDescent="0.25">
      <c r="A40">
        <v>552</v>
      </c>
      <c r="B40" s="3" t="s">
        <v>79</v>
      </c>
    </row>
    <row r="41" spans="1:2" x14ac:dyDescent="0.25">
      <c r="A41">
        <v>560</v>
      </c>
      <c r="B41" s="3" t="s">
        <v>80</v>
      </c>
    </row>
    <row r="42" spans="1:2" x14ac:dyDescent="0.25">
      <c r="A42">
        <v>561</v>
      </c>
      <c r="B42" s="3" t="s">
        <v>81</v>
      </c>
    </row>
    <row r="43" spans="1:2" x14ac:dyDescent="0.25">
      <c r="B43" s="3"/>
    </row>
    <row r="64" spans="1:1" x14ac:dyDescent="0.25">
      <c r="A64" t="s">
        <v>228</v>
      </c>
    </row>
  </sheetData>
  <mergeCells count="5">
    <mergeCell ref="I8:J8"/>
    <mergeCell ref="E8:F8"/>
    <mergeCell ref="A8:B8"/>
    <mergeCell ref="C8:D8"/>
    <mergeCell ref="G8:H8"/>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16BEE-211F-4DC3-883C-79F3B576CEBC}">
  <dimension ref="A1:H105"/>
  <sheetViews>
    <sheetView topLeftCell="A91" workbookViewId="0">
      <selection activeCell="G104" sqref="G104"/>
    </sheetView>
  </sheetViews>
  <sheetFormatPr defaultRowHeight="15" x14ac:dyDescent="0.25"/>
  <cols>
    <col min="1" max="1" width="178.140625" bestFit="1" customWidth="1"/>
    <col min="2" max="2" width="19" bestFit="1" customWidth="1"/>
    <col min="3" max="3" width="15.28515625" customWidth="1"/>
    <col min="4" max="4" width="19" customWidth="1"/>
    <col min="5" max="5" width="15.5703125" customWidth="1"/>
    <col min="6" max="6" width="16.140625" customWidth="1"/>
    <col min="7" max="7" width="18.140625" customWidth="1"/>
    <col min="8" max="8" width="46" customWidth="1"/>
  </cols>
  <sheetData>
    <row r="1" spans="1:5" x14ac:dyDescent="0.25">
      <c r="A1" s="10" t="s">
        <v>330</v>
      </c>
      <c r="B1" s="26" t="s">
        <v>331</v>
      </c>
      <c r="C1" t="s">
        <v>543</v>
      </c>
      <c r="D1" t="s">
        <v>544</v>
      </c>
    </row>
    <row r="2" spans="1:5" x14ac:dyDescent="0.25">
      <c r="A2" s="3" t="s">
        <v>273</v>
      </c>
      <c r="B2" s="16">
        <v>16303000</v>
      </c>
      <c r="C2" s="95">
        <f>SUM(C3:C18)</f>
        <v>16050000</v>
      </c>
      <c r="D2" s="97">
        <f>C2-GETPIVOTDATA("Overall Budget",$A$1,"Fiscal Year","2025/26")</f>
        <v>-253000</v>
      </c>
    </row>
    <row r="3" spans="1:5" x14ac:dyDescent="0.25">
      <c r="A3" s="11" t="s">
        <v>321</v>
      </c>
      <c r="B3" s="16">
        <v>400000</v>
      </c>
      <c r="C3" s="95">
        <v>400000</v>
      </c>
      <c r="D3" s="97">
        <f>C3-GETPIVOTDATA("Overall Budget",$A$1,"Fiscal Year","2025/26","Program Name","Alley Pavement Improvement Program")</f>
        <v>0</v>
      </c>
    </row>
    <row r="4" spans="1:5" x14ac:dyDescent="0.25">
      <c r="A4" s="11" t="s">
        <v>63</v>
      </c>
      <c r="B4" s="16">
        <v>4000000</v>
      </c>
      <c r="C4" s="95">
        <v>4000000</v>
      </c>
      <c r="D4" s="97">
        <f>C4-GETPIVOTDATA("Overall Budget",$A$1,"Fiscal Year","2025/26","Program Name","Asphalt Street Pavement Improvements")</f>
        <v>0</v>
      </c>
    </row>
    <row r="5" spans="1:5" x14ac:dyDescent="0.25">
      <c r="A5" s="11" t="s">
        <v>66</v>
      </c>
      <c r="B5" s="16">
        <v>53000</v>
      </c>
      <c r="C5" s="95">
        <v>50000</v>
      </c>
      <c r="D5" s="97">
        <f>C5-GETPIVOTDATA("Overall Budget",$A$1,"Fiscal Year","2025/26","Program Name","Clear Water Diversion")</f>
        <v>-3000</v>
      </c>
      <c r="E5" s="99" t="s">
        <v>567</v>
      </c>
    </row>
    <row r="6" spans="1:5" x14ac:dyDescent="0.25">
      <c r="A6" s="11" t="s">
        <v>314</v>
      </c>
      <c r="B6" s="16">
        <v>1200000</v>
      </c>
      <c r="C6" s="95">
        <v>1200000</v>
      </c>
      <c r="D6" s="97">
        <f>C6-GETPIVOTDATA("Overall Budget",$A$1,"Fiscal Year","2025/26","Program Name","Collector Street Pavement Improvements")</f>
        <v>0</v>
      </c>
    </row>
    <row r="7" spans="1:5" x14ac:dyDescent="0.25">
      <c r="A7" s="11" t="s">
        <v>60</v>
      </c>
      <c r="B7" s="16">
        <v>3800000</v>
      </c>
      <c r="C7" s="95">
        <v>3800000</v>
      </c>
      <c r="D7" s="97">
        <f>C7-GETPIVOTDATA("Overall Budget",$A$1,"Fiscal Year","2025/26","Program Name","Concrete Pavement Improvements")</f>
        <v>0</v>
      </c>
    </row>
    <row r="8" spans="1:5" x14ac:dyDescent="0.25">
      <c r="A8" s="11" t="s">
        <v>471</v>
      </c>
      <c r="B8" s="16">
        <v>250000</v>
      </c>
      <c r="C8" s="95">
        <v>250000</v>
      </c>
      <c r="D8" s="97">
        <f>C8-GETPIVOTDATA("Overall Budget",$A$1,"Fiscal Year","2025/26","Program Name","Downtown Street Improvements")</f>
        <v>0</v>
      </c>
    </row>
    <row r="9" spans="1:5" x14ac:dyDescent="0.25">
      <c r="A9" s="11" t="s">
        <v>198</v>
      </c>
      <c r="B9" s="16">
        <v>500000</v>
      </c>
      <c r="C9" s="95">
        <v>500000</v>
      </c>
      <c r="D9" s="97">
        <f>C9-GETPIVOTDATA("Overall Budget",$A$1,"Fiscal Year","2025/26","Program Name","Low Point Drainage Improvements")</f>
        <v>0</v>
      </c>
    </row>
    <row r="10" spans="1:5" x14ac:dyDescent="0.25">
      <c r="A10" s="11" t="s">
        <v>218</v>
      </c>
      <c r="B10" s="16">
        <v>150000</v>
      </c>
      <c r="C10" s="95">
        <v>150000</v>
      </c>
      <c r="D10" s="97">
        <f>C10-GETPIVOTDATA("Overall Budget",$A$1,"Fiscal Year","2025/26","Program Name","Neighborhood Curb Replacement Program")</f>
        <v>0</v>
      </c>
    </row>
    <row r="11" spans="1:5" x14ac:dyDescent="0.25">
      <c r="A11" s="11" t="s">
        <v>333</v>
      </c>
      <c r="B11" s="16">
        <v>325000</v>
      </c>
      <c r="C11" s="95">
        <v>325000</v>
      </c>
      <c r="D11" s="97">
        <f>C11-GETPIVOTDATA("Overall Budget",$A$1,"Fiscal Year","2025/26","Program Name","Right-of-Way Restoration")</f>
        <v>0</v>
      </c>
    </row>
    <row r="12" spans="1:5" x14ac:dyDescent="0.25">
      <c r="A12" s="11" t="s">
        <v>133</v>
      </c>
      <c r="B12" s="16">
        <v>743000</v>
      </c>
      <c r="C12" s="95">
        <v>350000</v>
      </c>
      <c r="D12" s="97">
        <f>C12-GETPIVOTDATA("Overall Budget",$A$1,"Fiscal Year","2025/26","Program Name","Sanitary Sewer System Improvements")</f>
        <v>-393000</v>
      </c>
      <c r="E12" s="99" t="s">
        <v>545</v>
      </c>
    </row>
    <row r="13" spans="1:5" x14ac:dyDescent="0.25">
      <c r="A13" s="11" t="s">
        <v>316</v>
      </c>
      <c r="B13" s="16">
        <v>1000000</v>
      </c>
      <c r="C13" s="95">
        <v>1000000</v>
      </c>
      <c r="D13" s="97">
        <f>C13-GETPIVOTDATA("Overall Budget",$A$1,"Fiscal Year","2025/26","Program Name","Seal Coat Street Pavement Improvements")</f>
        <v>0</v>
      </c>
    </row>
    <row r="14" spans="1:5" x14ac:dyDescent="0.25">
      <c r="A14" s="11" t="s">
        <v>328</v>
      </c>
      <c r="B14" s="16">
        <v>100000</v>
      </c>
      <c r="C14" s="95">
        <v>375000</v>
      </c>
      <c r="D14" s="97">
        <f>C14-GETPIVOTDATA("Overall Budget",$A$1,"Fiscal Year","2025/26","Program Name","Shared Use Path Maintenance")</f>
        <v>275000</v>
      </c>
    </row>
    <row r="15" spans="1:5" x14ac:dyDescent="0.25">
      <c r="A15" s="11" t="s">
        <v>202</v>
      </c>
      <c r="B15" s="16">
        <v>850000</v>
      </c>
      <c r="C15" s="95">
        <v>850000</v>
      </c>
      <c r="D15" s="97">
        <f>C15-GETPIVOTDATA("Overall Budget",$A$1,"Fiscal Year","2025/26","Program Name","Stormwater Erosion Control Program")</f>
        <v>0</v>
      </c>
      <c r="E15" s="99" t="s">
        <v>566</v>
      </c>
    </row>
    <row r="16" spans="1:5" x14ac:dyDescent="0.25">
      <c r="A16" s="11" t="s">
        <v>324</v>
      </c>
      <c r="B16" s="16">
        <v>380000</v>
      </c>
      <c r="C16" s="95">
        <v>650000</v>
      </c>
      <c r="D16" s="97">
        <f>C16-GETPIVOTDATA("Overall Budget",$A$1,"Fiscal Year","2025/26","Program Name","Stormwater Improvement Program")</f>
        <v>270000</v>
      </c>
    </row>
    <row r="17" spans="1:8" x14ac:dyDescent="0.25">
      <c r="A17" s="11" t="s">
        <v>309</v>
      </c>
      <c r="B17" s="16">
        <v>100000</v>
      </c>
      <c r="C17" s="95">
        <v>100000</v>
      </c>
      <c r="D17" s="97">
        <f>C17-GETPIVOTDATA("Overall Budget",$A$1,"Fiscal Year","2025/26","Program Name","Stormwater Quality Improvements")</f>
        <v>0</v>
      </c>
    </row>
    <row r="18" spans="1:8" x14ac:dyDescent="0.25">
      <c r="A18" s="11" t="s">
        <v>90</v>
      </c>
      <c r="B18" s="16">
        <v>2452000</v>
      </c>
      <c r="C18" s="95">
        <v>2050000</v>
      </c>
      <c r="D18" s="97">
        <f>C18-GETPIVOTDATA("Overall Budget",$A$1,"Fiscal Year","2025/26","Program Name","Water System Improvements")</f>
        <v>-402000</v>
      </c>
      <c r="E18" s="99" t="s">
        <v>567</v>
      </c>
    </row>
    <row r="19" spans="1:8" x14ac:dyDescent="0.25">
      <c r="A19" s="3" t="s">
        <v>245</v>
      </c>
      <c r="B19" s="16">
        <v>16303000</v>
      </c>
    </row>
    <row r="24" spans="1:8" x14ac:dyDescent="0.25">
      <c r="A24" s="10" t="s">
        <v>59</v>
      </c>
      <c r="B24" t="s">
        <v>273</v>
      </c>
    </row>
    <row r="26" spans="1:8" x14ac:dyDescent="0.25">
      <c r="A26" s="10" t="s">
        <v>556</v>
      </c>
      <c r="B26" t="s">
        <v>546</v>
      </c>
      <c r="C26" t="s">
        <v>548</v>
      </c>
      <c r="D26" t="s">
        <v>547</v>
      </c>
      <c r="E26" t="s">
        <v>549</v>
      </c>
      <c r="F26" t="s">
        <v>550</v>
      </c>
      <c r="G26" t="s">
        <v>551</v>
      </c>
      <c r="H26" s="98" t="s">
        <v>35</v>
      </c>
    </row>
    <row r="27" spans="1:8" x14ac:dyDescent="0.25">
      <c r="A27" s="3" t="s">
        <v>466</v>
      </c>
      <c r="B27" s="96">
        <v>50000</v>
      </c>
      <c r="C27" s="16">
        <v>0</v>
      </c>
      <c r="D27" s="16">
        <v>49942.46</v>
      </c>
      <c r="E27" s="16">
        <v>0</v>
      </c>
      <c r="F27" s="16">
        <v>49942.46</v>
      </c>
      <c r="G27" s="97">
        <v>57.540000000000873</v>
      </c>
      <c r="H27" s="98"/>
    </row>
    <row r="28" spans="1:8" x14ac:dyDescent="0.25">
      <c r="A28" s="11" t="s">
        <v>324</v>
      </c>
      <c r="B28" s="96">
        <v>50000</v>
      </c>
      <c r="C28" s="16">
        <v>0</v>
      </c>
      <c r="D28" s="16">
        <v>49942.46</v>
      </c>
      <c r="E28" s="16">
        <v>0</v>
      </c>
      <c r="F28" s="16">
        <v>49942.46</v>
      </c>
      <c r="G28" s="97">
        <v>57.540000000000873</v>
      </c>
      <c r="H28" s="98"/>
    </row>
    <row r="29" spans="1:8" x14ac:dyDescent="0.25">
      <c r="A29" s="25" t="s">
        <v>168</v>
      </c>
      <c r="B29" s="96">
        <v>50000</v>
      </c>
      <c r="C29" s="16">
        <v>0</v>
      </c>
      <c r="D29" s="16">
        <v>49942.46</v>
      </c>
      <c r="E29" s="16">
        <v>0</v>
      </c>
      <c r="F29" s="16">
        <v>49942.46</v>
      </c>
      <c r="G29" s="97">
        <v>57.540000000000873</v>
      </c>
      <c r="H29" s="98"/>
    </row>
    <row r="30" spans="1:8" x14ac:dyDescent="0.25">
      <c r="A30" s="3" t="s">
        <v>307</v>
      </c>
      <c r="B30" s="96">
        <v>500000</v>
      </c>
      <c r="C30" s="16">
        <v>0</v>
      </c>
      <c r="D30" s="16"/>
      <c r="E30" s="16"/>
      <c r="F30" s="16">
        <v>0</v>
      </c>
      <c r="G30" s="97">
        <v>500000</v>
      </c>
      <c r="H30" s="98"/>
    </row>
    <row r="31" spans="1:8" x14ac:dyDescent="0.25">
      <c r="A31" s="11" t="s">
        <v>198</v>
      </c>
      <c r="B31" s="96">
        <v>500000</v>
      </c>
      <c r="C31" s="16">
        <v>0</v>
      </c>
      <c r="D31" s="16"/>
      <c r="E31" s="16"/>
      <c r="F31" s="16">
        <v>0</v>
      </c>
      <c r="G31" s="97">
        <v>500000</v>
      </c>
      <c r="H31" s="98"/>
    </row>
    <row r="32" spans="1:8" x14ac:dyDescent="0.25">
      <c r="A32" s="25" t="s">
        <v>305</v>
      </c>
      <c r="B32" s="96">
        <v>500000</v>
      </c>
      <c r="C32" s="16">
        <v>0</v>
      </c>
      <c r="D32" s="16"/>
      <c r="E32" s="16"/>
      <c r="F32" s="16">
        <v>0</v>
      </c>
      <c r="G32" s="97">
        <v>500000</v>
      </c>
      <c r="H32" s="98"/>
    </row>
    <row r="33" spans="1:8" x14ac:dyDescent="0.25">
      <c r="A33" s="3" t="s">
        <v>376</v>
      </c>
      <c r="B33" s="96">
        <v>400000</v>
      </c>
      <c r="C33" s="16">
        <v>0</v>
      </c>
      <c r="D33" s="16">
        <v>160000</v>
      </c>
      <c r="E33" s="16">
        <v>21400</v>
      </c>
      <c r="F33" s="16">
        <v>181400</v>
      </c>
      <c r="G33" s="97">
        <v>218600</v>
      </c>
      <c r="H33" s="98"/>
    </row>
    <row r="34" spans="1:8" x14ac:dyDescent="0.25">
      <c r="A34" s="11" t="s">
        <v>321</v>
      </c>
      <c r="B34" s="96">
        <v>400000</v>
      </c>
      <c r="C34" s="16">
        <v>0</v>
      </c>
      <c r="D34" s="16">
        <v>160000</v>
      </c>
      <c r="E34" s="16">
        <v>21400</v>
      </c>
      <c r="F34" s="16">
        <v>181400</v>
      </c>
      <c r="G34" s="97">
        <v>218600</v>
      </c>
      <c r="H34" s="98"/>
    </row>
    <row r="35" spans="1:8" x14ac:dyDescent="0.25">
      <c r="A35" s="25" t="s">
        <v>555</v>
      </c>
      <c r="B35" s="96">
        <v>400000</v>
      </c>
      <c r="C35" s="16">
        <v>0</v>
      </c>
      <c r="D35" s="16">
        <v>160000</v>
      </c>
      <c r="E35" s="16">
        <v>21400</v>
      </c>
      <c r="F35" s="16">
        <v>181400</v>
      </c>
      <c r="G35" s="97">
        <v>218600</v>
      </c>
      <c r="H35" s="98"/>
    </row>
    <row r="36" spans="1:8" x14ac:dyDescent="0.25">
      <c r="A36" s="3" t="s">
        <v>276</v>
      </c>
      <c r="B36" s="96">
        <v>1300000</v>
      </c>
      <c r="C36" s="16">
        <v>72000</v>
      </c>
      <c r="D36" s="16">
        <v>1057386.5</v>
      </c>
      <c r="E36" s="16">
        <v>123000</v>
      </c>
      <c r="F36" s="16">
        <v>1252386.5</v>
      </c>
      <c r="G36" s="97">
        <v>47613.5</v>
      </c>
      <c r="H36" s="98"/>
    </row>
    <row r="37" spans="1:8" x14ac:dyDescent="0.25">
      <c r="A37" s="11" t="s">
        <v>314</v>
      </c>
      <c r="B37" s="96">
        <v>1200000</v>
      </c>
      <c r="C37" s="16">
        <v>72000</v>
      </c>
      <c r="D37" s="16">
        <v>954015.5</v>
      </c>
      <c r="E37" s="16">
        <v>123000</v>
      </c>
      <c r="F37" s="16">
        <v>1149015.5</v>
      </c>
      <c r="G37" s="97">
        <v>50984.5</v>
      </c>
      <c r="H37" s="98"/>
    </row>
    <row r="38" spans="1:8" x14ac:dyDescent="0.25">
      <c r="A38" s="25" t="s">
        <v>553</v>
      </c>
      <c r="B38" s="96">
        <v>700000</v>
      </c>
      <c r="C38" s="16">
        <v>0</v>
      </c>
      <c r="D38" s="16">
        <v>700000</v>
      </c>
      <c r="E38" s="16">
        <v>0</v>
      </c>
      <c r="F38" s="16">
        <v>700000</v>
      </c>
      <c r="G38" s="97">
        <v>0</v>
      </c>
      <c r="H38" s="98"/>
    </row>
    <row r="39" spans="1:8" x14ac:dyDescent="0.25">
      <c r="A39" s="25" t="s">
        <v>468</v>
      </c>
      <c r="B39" s="96">
        <v>500000</v>
      </c>
      <c r="C39" s="16">
        <v>72000</v>
      </c>
      <c r="D39" s="16">
        <v>254015.5</v>
      </c>
      <c r="E39" s="16">
        <v>123000</v>
      </c>
      <c r="F39" s="16">
        <v>449015.5</v>
      </c>
      <c r="G39" s="97">
        <v>50984.5</v>
      </c>
      <c r="H39" s="98"/>
    </row>
    <row r="40" spans="1:8" x14ac:dyDescent="0.25">
      <c r="A40" s="11" t="s">
        <v>328</v>
      </c>
      <c r="B40" s="96">
        <v>100000</v>
      </c>
      <c r="C40" s="16">
        <v>0</v>
      </c>
      <c r="D40" s="16">
        <v>103371</v>
      </c>
      <c r="E40" s="16">
        <v>0</v>
      </c>
      <c r="F40" s="16">
        <v>103371</v>
      </c>
      <c r="G40" s="97">
        <v>-3371</v>
      </c>
      <c r="H40" s="98"/>
    </row>
    <row r="41" spans="1:8" x14ac:dyDescent="0.25">
      <c r="A41" s="25" t="s">
        <v>373</v>
      </c>
      <c r="B41" s="96">
        <v>100000</v>
      </c>
      <c r="C41" s="16">
        <v>0</v>
      </c>
      <c r="D41" s="16">
        <v>103371</v>
      </c>
      <c r="E41" s="16">
        <v>0</v>
      </c>
      <c r="F41" s="16">
        <v>103371</v>
      </c>
      <c r="G41" s="97">
        <v>-3371</v>
      </c>
      <c r="H41" s="98" t="s">
        <v>557</v>
      </c>
    </row>
    <row r="42" spans="1:8" x14ac:dyDescent="0.25">
      <c r="A42" s="3" t="s">
        <v>531</v>
      </c>
      <c r="B42" s="96">
        <v>325000</v>
      </c>
      <c r="C42" s="16">
        <v>0</v>
      </c>
      <c r="D42" s="16">
        <v>165000</v>
      </c>
      <c r="E42" s="16">
        <v>160000</v>
      </c>
      <c r="F42" s="16">
        <v>325000</v>
      </c>
      <c r="G42" s="97">
        <v>0</v>
      </c>
      <c r="H42" s="98"/>
    </row>
    <row r="43" spans="1:8" x14ac:dyDescent="0.25">
      <c r="A43" s="11" t="s">
        <v>333</v>
      </c>
      <c r="B43" s="96">
        <v>325000</v>
      </c>
      <c r="C43" s="16">
        <v>0</v>
      </c>
      <c r="D43" s="16">
        <v>165000</v>
      </c>
      <c r="E43" s="16">
        <v>160000</v>
      </c>
      <c r="F43" s="16">
        <v>325000</v>
      </c>
      <c r="G43" s="97">
        <v>0</v>
      </c>
      <c r="H43" s="98"/>
    </row>
    <row r="44" spans="1:8" x14ac:dyDescent="0.25">
      <c r="A44" s="25" t="s">
        <v>509</v>
      </c>
      <c r="B44" s="96">
        <v>75000</v>
      </c>
      <c r="C44" s="16">
        <v>0</v>
      </c>
      <c r="D44" s="16">
        <v>35000</v>
      </c>
      <c r="E44" s="16">
        <v>40000</v>
      </c>
      <c r="F44" s="16">
        <v>75000</v>
      </c>
      <c r="G44" s="97">
        <v>0</v>
      </c>
      <c r="H44" s="98" t="s">
        <v>563</v>
      </c>
    </row>
    <row r="45" spans="1:8" x14ac:dyDescent="0.25">
      <c r="A45" s="25" t="s">
        <v>510</v>
      </c>
      <c r="B45" s="96">
        <v>75000</v>
      </c>
      <c r="C45" s="16">
        <v>0</v>
      </c>
      <c r="D45" s="16">
        <v>35000</v>
      </c>
      <c r="E45" s="16">
        <v>40000</v>
      </c>
      <c r="F45" s="16">
        <v>75000</v>
      </c>
      <c r="G45" s="97">
        <v>0</v>
      </c>
      <c r="H45" s="98"/>
    </row>
    <row r="46" spans="1:8" x14ac:dyDescent="0.25">
      <c r="A46" s="25" t="s">
        <v>532</v>
      </c>
      <c r="B46" s="96">
        <v>50000</v>
      </c>
      <c r="C46" s="16">
        <v>0</v>
      </c>
      <c r="D46" s="16">
        <v>10000</v>
      </c>
      <c r="E46" s="16">
        <v>40000</v>
      </c>
      <c r="F46" s="16">
        <v>50000</v>
      </c>
      <c r="G46" s="97">
        <v>0</v>
      </c>
      <c r="H46" s="98"/>
    </row>
    <row r="47" spans="1:8" x14ac:dyDescent="0.25">
      <c r="A47" s="25" t="s">
        <v>441</v>
      </c>
      <c r="B47" s="96">
        <v>125000</v>
      </c>
      <c r="C47" s="16">
        <v>0</v>
      </c>
      <c r="D47" s="16">
        <v>85000</v>
      </c>
      <c r="E47" s="16">
        <v>40000</v>
      </c>
      <c r="F47" s="16">
        <v>125000</v>
      </c>
      <c r="G47" s="97">
        <v>0</v>
      </c>
      <c r="H47" s="98"/>
    </row>
    <row r="48" spans="1:8" x14ac:dyDescent="0.25">
      <c r="A48" s="3" t="s">
        <v>473</v>
      </c>
      <c r="B48" s="96">
        <v>250000</v>
      </c>
      <c r="C48" s="16">
        <v>0</v>
      </c>
      <c r="D48" s="16">
        <v>180000</v>
      </c>
      <c r="E48" s="16">
        <v>24000</v>
      </c>
      <c r="F48" s="16">
        <v>204000</v>
      </c>
      <c r="G48" s="97">
        <v>46000</v>
      </c>
      <c r="H48" s="98"/>
    </row>
    <row r="49" spans="1:8" x14ac:dyDescent="0.25">
      <c r="A49" s="11" t="s">
        <v>471</v>
      </c>
      <c r="B49" s="96">
        <v>250000</v>
      </c>
      <c r="C49" s="16">
        <v>0</v>
      </c>
      <c r="D49" s="16">
        <v>180000</v>
      </c>
      <c r="E49" s="16">
        <v>24000</v>
      </c>
      <c r="F49" s="16">
        <v>204000</v>
      </c>
      <c r="G49" s="97">
        <v>46000</v>
      </c>
      <c r="H49" s="98"/>
    </row>
    <row r="50" spans="1:8" x14ac:dyDescent="0.25">
      <c r="A50" s="25" t="s">
        <v>472</v>
      </c>
      <c r="B50" s="96">
        <v>250000</v>
      </c>
      <c r="C50" s="16">
        <v>0</v>
      </c>
      <c r="D50" s="16">
        <v>180000</v>
      </c>
      <c r="E50" s="16">
        <v>24000</v>
      </c>
      <c r="F50" s="16">
        <v>204000</v>
      </c>
      <c r="G50" s="97">
        <v>46000</v>
      </c>
      <c r="H50" s="98"/>
    </row>
    <row r="51" spans="1:8" x14ac:dyDescent="0.25">
      <c r="A51" s="3" t="s">
        <v>409</v>
      </c>
      <c r="B51" s="96">
        <v>1830000</v>
      </c>
      <c r="C51" s="16">
        <v>0</v>
      </c>
      <c r="D51" s="16">
        <v>2802834</v>
      </c>
      <c r="E51" s="16">
        <v>200000</v>
      </c>
      <c r="F51" s="16">
        <v>3002834</v>
      </c>
      <c r="G51" s="97">
        <v>-1172834</v>
      </c>
      <c r="H51" s="98"/>
    </row>
    <row r="52" spans="1:8" x14ac:dyDescent="0.25">
      <c r="A52" s="11" t="s">
        <v>218</v>
      </c>
      <c r="B52" s="96">
        <v>150000</v>
      </c>
      <c r="C52" s="16">
        <v>0</v>
      </c>
      <c r="D52" s="16">
        <v>330959</v>
      </c>
      <c r="E52" s="16">
        <v>0</v>
      </c>
      <c r="F52" s="16">
        <v>330959</v>
      </c>
      <c r="G52" s="97">
        <v>-180959</v>
      </c>
      <c r="H52" s="98"/>
    </row>
    <row r="53" spans="1:8" x14ac:dyDescent="0.25">
      <c r="A53" s="25" t="s">
        <v>216</v>
      </c>
      <c r="B53" s="96">
        <v>150000</v>
      </c>
      <c r="C53" s="16">
        <v>0</v>
      </c>
      <c r="D53" s="16">
        <v>330959</v>
      </c>
      <c r="E53" s="16">
        <v>0</v>
      </c>
      <c r="F53" s="16">
        <v>330959</v>
      </c>
      <c r="G53" s="97">
        <v>-180959</v>
      </c>
      <c r="H53" s="98" t="s">
        <v>558</v>
      </c>
    </row>
    <row r="54" spans="1:8" x14ac:dyDescent="0.25">
      <c r="A54" s="11" t="s">
        <v>316</v>
      </c>
      <c r="B54" s="96">
        <v>1000000</v>
      </c>
      <c r="C54" s="16">
        <v>0</v>
      </c>
      <c r="D54" s="16">
        <v>1884000</v>
      </c>
      <c r="E54" s="16">
        <v>200000</v>
      </c>
      <c r="F54" s="16">
        <v>2084000</v>
      </c>
      <c r="G54" s="97">
        <v>-1084000</v>
      </c>
      <c r="H54" s="98"/>
    </row>
    <row r="55" spans="1:8" x14ac:dyDescent="0.25">
      <c r="A55" s="25" t="s">
        <v>467</v>
      </c>
      <c r="B55" s="96">
        <v>1000000</v>
      </c>
      <c r="C55" s="16">
        <v>0</v>
      </c>
      <c r="D55" s="16">
        <v>1884000</v>
      </c>
      <c r="E55" s="16">
        <v>200000</v>
      </c>
      <c r="F55" s="16">
        <v>2084000</v>
      </c>
      <c r="G55" s="100">
        <v>-1084000</v>
      </c>
      <c r="H55" s="98"/>
    </row>
    <row r="56" spans="1:8" x14ac:dyDescent="0.25">
      <c r="A56" s="11" t="s">
        <v>90</v>
      </c>
      <c r="B56" s="96">
        <v>680000</v>
      </c>
      <c r="C56" s="16">
        <v>0</v>
      </c>
      <c r="D56" s="16">
        <v>587875</v>
      </c>
      <c r="E56" s="16">
        <v>0</v>
      </c>
      <c r="F56" s="16">
        <v>587875</v>
      </c>
      <c r="G56" s="97">
        <v>92125</v>
      </c>
      <c r="H56" s="98"/>
    </row>
    <row r="57" spans="1:8" x14ac:dyDescent="0.25">
      <c r="A57" s="25" t="s">
        <v>55</v>
      </c>
      <c r="B57" s="96">
        <v>680000</v>
      </c>
      <c r="C57" s="16">
        <v>0</v>
      </c>
      <c r="D57" s="16">
        <v>587875</v>
      </c>
      <c r="E57" s="16">
        <v>0</v>
      </c>
      <c r="F57" s="16">
        <v>587875</v>
      </c>
      <c r="G57" s="97">
        <v>92125</v>
      </c>
      <c r="H57" s="98"/>
    </row>
    <row r="58" spans="1:8" x14ac:dyDescent="0.25">
      <c r="A58" s="3" t="s">
        <v>433</v>
      </c>
      <c r="B58" s="96">
        <v>758000</v>
      </c>
      <c r="C58" s="16">
        <v>0</v>
      </c>
      <c r="D58" s="16">
        <v>758000</v>
      </c>
      <c r="E58" s="16">
        <v>0</v>
      </c>
      <c r="F58" s="16">
        <v>758000</v>
      </c>
      <c r="G58" s="97">
        <v>0</v>
      </c>
      <c r="H58" s="98"/>
    </row>
    <row r="59" spans="1:8" x14ac:dyDescent="0.25">
      <c r="A59" s="11" t="s">
        <v>133</v>
      </c>
      <c r="B59" s="96">
        <v>68000</v>
      </c>
      <c r="C59" s="16">
        <v>0</v>
      </c>
      <c r="D59" s="16">
        <v>68000</v>
      </c>
      <c r="E59" s="16">
        <v>0</v>
      </c>
      <c r="F59" s="16">
        <v>68000</v>
      </c>
      <c r="G59" s="97">
        <v>0</v>
      </c>
      <c r="H59" s="98"/>
    </row>
    <row r="60" spans="1:8" x14ac:dyDescent="0.25">
      <c r="A60" s="25" t="s">
        <v>463</v>
      </c>
      <c r="B60" s="96">
        <v>68000</v>
      </c>
      <c r="C60" s="16">
        <v>0</v>
      </c>
      <c r="D60" s="16">
        <v>68000</v>
      </c>
      <c r="E60" s="16">
        <v>0</v>
      </c>
      <c r="F60" s="16">
        <v>68000</v>
      </c>
      <c r="G60" s="97">
        <v>0</v>
      </c>
      <c r="H60" s="98"/>
    </row>
    <row r="61" spans="1:8" x14ac:dyDescent="0.25">
      <c r="A61" s="11" t="s">
        <v>90</v>
      </c>
      <c r="B61" s="96">
        <v>690000</v>
      </c>
      <c r="C61" s="16">
        <v>0</v>
      </c>
      <c r="D61" s="16">
        <v>690000</v>
      </c>
      <c r="E61" s="16">
        <v>0</v>
      </c>
      <c r="F61" s="16">
        <v>690000</v>
      </c>
      <c r="G61" s="97">
        <v>0</v>
      </c>
      <c r="H61" s="98"/>
    </row>
    <row r="62" spans="1:8" x14ac:dyDescent="0.25">
      <c r="A62" s="25" t="s">
        <v>462</v>
      </c>
      <c r="B62" s="96">
        <v>690000</v>
      </c>
      <c r="C62" s="16">
        <v>0</v>
      </c>
      <c r="D62" s="16">
        <v>690000</v>
      </c>
      <c r="E62" s="16">
        <v>0</v>
      </c>
      <c r="F62" s="16">
        <v>690000</v>
      </c>
      <c r="G62" s="97">
        <v>0</v>
      </c>
      <c r="H62" s="98"/>
    </row>
    <row r="63" spans="1:8" x14ac:dyDescent="0.25">
      <c r="A63" s="3" t="s">
        <v>460</v>
      </c>
      <c r="B63" s="96">
        <v>400000</v>
      </c>
      <c r="C63" s="16">
        <v>14000</v>
      </c>
      <c r="D63" s="16">
        <v>350000</v>
      </c>
      <c r="E63" s="16">
        <v>14000</v>
      </c>
      <c r="F63" s="16">
        <v>378000</v>
      </c>
      <c r="G63" s="97">
        <v>22000</v>
      </c>
      <c r="H63" s="98"/>
    </row>
    <row r="64" spans="1:8" x14ac:dyDescent="0.25">
      <c r="A64" s="11" t="s">
        <v>133</v>
      </c>
      <c r="B64" s="96">
        <v>400000</v>
      </c>
      <c r="C64" s="16">
        <v>14000</v>
      </c>
      <c r="D64" s="16">
        <v>350000</v>
      </c>
      <c r="E64" s="16">
        <v>14000</v>
      </c>
      <c r="F64" s="16">
        <v>378000</v>
      </c>
      <c r="G64" s="97">
        <v>22000</v>
      </c>
      <c r="H64" s="98"/>
    </row>
    <row r="65" spans="1:8" x14ac:dyDescent="0.25">
      <c r="A65" s="25" t="s">
        <v>501</v>
      </c>
      <c r="B65" s="96">
        <v>400000</v>
      </c>
      <c r="C65" s="16">
        <v>14000</v>
      </c>
      <c r="D65" s="16">
        <v>350000</v>
      </c>
      <c r="E65" s="16">
        <v>14000</v>
      </c>
      <c r="F65" s="16">
        <v>378000</v>
      </c>
      <c r="G65" s="97">
        <v>22000</v>
      </c>
      <c r="H65" s="98"/>
    </row>
    <row r="66" spans="1:8" x14ac:dyDescent="0.25">
      <c r="A66" s="3" t="s">
        <v>279</v>
      </c>
      <c r="B66" s="96">
        <v>4390000</v>
      </c>
      <c r="C66" s="16">
        <v>302000</v>
      </c>
      <c r="D66" s="16">
        <v>3677000</v>
      </c>
      <c r="E66" s="16">
        <v>300000</v>
      </c>
      <c r="F66" s="16">
        <v>4279000</v>
      </c>
      <c r="G66" s="97">
        <v>110999.99999999997</v>
      </c>
      <c r="H66" s="98"/>
    </row>
    <row r="67" spans="1:8" x14ac:dyDescent="0.25">
      <c r="A67" s="11" t="s">
        <v>63</v>
      </c>
      <c r="B67" s="96">
        <v>4000000</v>
      </c>
      <c r="C67" s="16">
        <v>302000</v>
      </c>
      <c r="D67" s="16">
        <v>3340000</v>
      </c>
      <c r="E67" s="16">
        <v>300000</v>
      </c>
      <c r="F67" s="16">
        <v>3942000</v>
      </c>
      <c r="G67" s="97">
        <v>58000</v>
      </c>
      <c r="H67" s="98" t="s">
        <v>562</v>
      </c>
    </row>
    <row r="68" spans="1:8" x14ac:dyDescent="0.25">
      <c r="A68" s="25" t="s">
        <v>493</v>
      </c>
      <c r="B68" s="96">
        <v>4000000</v>
      </c>
      <c r="C68" s="16">
        <v>302000</v>
      </c>
      <c r="D68" s="16">
        <v>3340000</v>
      </c>
      <c r="E68" s="16">
        <v>300000</v>
      </c>
      <c r="F68" s="16">
        <v>3942000</v>
      </c>
      <c r="G68" s="97">
        <v>58000</v>
      </c>
      <c r="H68" s="98"/>
    </row>
    <row r="69" spans="1:8" x14ac:dyDescent="0.25">
      <c r="A69" s="11" t="s">
        <v>133</v>
      </c>
      <c r="B69" s="96">
        <v>100000</v>
      </c>
      <c r="C69" s="16">
        <v>0</v>
      </c>
      <c r="D69" s="16">
        <v>80000</v>
      </c>
      <c r="E69" s="16">
        <v>0</v>
      </c>
      <c r="F69" s="16">
        <v>80000</v>
      </c>
      <c r="G69" s="97">
        <v>20000</v>
      </c>
      <c r="H69" s="98" t="s">
        <v>565</v>
      </c>
    </row>
    <row r="70" spans="1:8" x14ac:dyDescent="0.25">
      <c r="A70" s="25" t="s">
        <v>500</v>
      </c>
      <c r="B70" s="96">
        <v>100000</v>
      </c>
      <c r="C70" s="16">
        <v>0</v>
      </c>
      <c r="D70" s="16">
        <v>80000</v>
      </c>
      <c r="E70" s="16">
        <v>0</v>
      </c>
      <c r="F70" s="16">
        <v>80000</v>
      </c>
      <c r="G70" s="97">
        <v>20000</v>
      </c>
      <c r="H70" s="98"/>
    </row>
    <row r="71" spans="1:8" x14ac:dyDescent="0.25">
      <c r="A71" s="11" t="s">
        <v>324</v>
      </c>
      <c r="B71" s="96">
        <v>60000</v>
      </c>
      <c r="C71" s="16">
        <v>0</v>
      </c>
      <c r="D71" s="16">
        <v>57000</v>
      </c>
      <c r="E71" s="16">
        <v>0</v>
      </c>
      <c r="F71" s="16">
        <v>57000</v>
      </c>
      <c r="G71" s="97">
        <v>3000</v>
      </c>
      <c r="H71" s="98"/>
    </row>
    <row r="72" spans="1:8" x14ac:dyDescent="0.25">
      <c r="A72" s="25" t="s">
        <v>564</v>
      </c>
      <c r="B72" s="96">
        <v>60000</v>
      </c>
      <c r="C72" s="16">
        <v>0</v>
      </c>
      <c r="D72" s="16">
        <v>57000</v>
      </c>
      <c r="E72" s="16">
        <v>0</v>
      </c>
      <c r="F72" s="16">
        <v>57000</v>
      </c>
      <c r="G72" s="97">
        <v>3000</v>
      </c>
      <c r="H72" s="98"/>
    </row>
    <row r="73" spans="1:8" x14ac:dyDescent="0.25">
      <c r="A73" s="11" t="s">
        <v>90</v>
      </c>
      <c r="B73" s="96">
        <v>229999.99999999997</v>
      </c>
      <c r="C73" s="16">
        <v>0</v>
      </c>
      <c r="D73" s="16">
        <v>200000</v>
      </c>
      <c r="E73" s="16">
        <v>0</v>
      </c>
      <c r="F73" s="16">
        <v>200000</v>
      </c>
      <c r="G73" s="97">
        <v>29999.999999999971</v>
      </c>
      <c r="H73" s="98"/>
    </row>
    <row r="74" spans="1:8" x14ac:dyDescent="0.25">
      <c r="A74" s="25" t="s">
        <v>494</v>
      </c>
      <c r="B74" s="96">
        <v>229999.99999999997</v>
      </c>
      <c r="C74" s="16">
        <v>0</v>
      </c>
      <c r="D74" s="16">
        <v>200000</v>
      </c>
      <c r="E74" s="16">
        <v>0</v>
      </c>
      <c r="F74" s="16">
        <v>200000</v>
      </c>
      <c r="G74" s="97">
        <v>29999.999999999971</v>
      </c>
      <c r="H74" s="98"/>
    </row>
    <row r="75" spans="1:8" x14ac:dyDescent="0.25">
      <c r="A75" s="3" t="s">
        <v>505</v>
      </c>
      <c r="B75" s="96">
        <v>0</v>
      </c>
      <c r="C75" s="16">
        <v>13400</v>
      </c>
      <c r="D75" s="16">
        <v>148640</v>
      </c>
      <c r="E75" s="16">
        <v>15000</v>
      </c>
      <c r="F75" s="16">
        <v>177040</v>
      </c>
      <c r="G75" s="97">
        <v>-177040</v>
      </c>
      <c r="H75" s="98"/>
    </row>
    <row r="76" spans="1:8" x14ac:dyDescent="0.25">
      <c r="A76" s="11" t="s">
        <v>133</v>
      </c>
      <c r="B76" s="96">
        <v>0</v>
      </c>
      <c r="C76" s="16">
        <v>13400</v>
      </c>
      <c r="D76" s="16">
        <v>148640</v>
      </c>
      <c r="E76" s="16">
        <v>15000</v>
      </c>
      <c r="F76" s="16">
        <v>177040</v>
      </c>
      <c r="G76" s="97">
        <v>-177040</v>
      </c>
      <c r="H76" s="98"/>
    </row>
    <row r="77" spans="1:8" x14ac:dyDescent="0.25">
      <c r="A77" s="25" t="s">
        <v>67</v>
      </c>
      <c r="B77" s="96">
        <v>0</v>
      </c>
      <c r="C77" s="16">
        <v>13400</v>
      </c>
      <c r="D77" s="16">
        <v>148640</v>
      </c>
      <c r="E77" s="16">
        <v>15000</v>
      </c>
      <c r="F77" s="16">
        <v>177040</v>
      </c>
      <c r="G77" s="97">
        <v>-177040</v>
      </c>
      <c r="H77" s="98" t="s">
        <v>559</v>
      </c>
    </row>
    <row r="78" spans="1:8" x14ac:dyDescent="0.25">
      <c r="A78" s="3" t="s">
        <v>560</v>
      </c>
      <c r="B78" s="96">
        <v>1805000</v>
      </c>
      <c r="C78" s="16">
        <v>0</v>
      </c>
      <c r="D78" s="16">
        <v>1652812.13</v>
      </c>
      <c r="E78" s="16">
        <v>130000</v>
      </c>
      <c r="F78" s="16">
        <v>1782812.13</v>
      </c>
      <c r="G78" s="97">
        <v>22187.870000000112</v>
      </c>
      <c r="H78" s="98"/>
    </row>
    <row r="79" spans="1:8" x14ac:dyDescent="0.25">
      <c r="A79" s="11" t="s">
        <v>60</v>
      </c>
      <c r="B79" s="96">
        <v>1100000</v>
      </c>
      <c r="C79" s="16">
        <v>0</v>
      </c>
      <c r="D79" s="16">
        <v>958272.13</v>
      </c>
      <c r="E79" s="16">
        <v>130000</v>
      </c>
      <c r="F79" s="16">
        <v>1088272.1299999999</v>
      </c>
      <c r="G79" s="97">
        <v>11727.870000000112</v>
      </c>
      <c r="H79" s="98"/>
    </row>
    <row r="80" spans="1:8" x14ac:dyDescent="0.25">
      <c r="A80" s="25" t="s">
        <v>495</v>
      </c>
      <c r="B80" s="96">
        <v>1100000</v>
      </c>
      <c r="C80" s="16">
        <v>0</v>
      </c>
      <c r="D80" s="16">
        <v>958272.13</v>
      </c>
      <c r="E80" s="16">
        <v>130000</v>
      </c>
      <c r="F80" s="16">
        <v>1088272.1299999999</v>
      </c>
      <c r="G80" s="97">
        <v>11727.870000000112</v>
      </c>
      <c r="H80" s="98"/>
    </row>
    <row r="81" spans="1:8" x14ac:dyDescent="0.25">
      <c r="A81" s="11" t="s">
        <v>133</v>
      </c>
      <c r="B81" s="96">
        <v>95000</v>
      </c>
      <c r="C81" s="16">
        <v>0</v>
      </c>
      <c r="D81" s="16">
        <v>93000</v>
      </c>
      <c r="E81" s="16">
        <v>0</v>
      </c>
      <c r="F81" s="16">
        <v>93000</v>
      </c>
      <c r="G81" s="97">
        <v>2000</v>
      </c>
      <c r="H81" s="98"/>
    </row>
    <row r="82" spans="1:8" x14ac:dyDescent="0.25">
      <c r="A82" s="25" t="s">
        <v>585</v>
      </c>
      <c r="B82" s="96">
        <v>95000</v>
      </c>
      <c r="C82" s="16">
        <v>0</v>
      </c>
      <c r="D82" s="16">
        <v>93000</v>
      </c>
      <c r="E82" s="16">
        <v>0</v>
      </c>
      <c r="F82" s="16">
        <v>93000</v>
      </c>
      <c r="G82" s="97">
        <v>2000</v>
      </c>
      <c r="H82" s="98"/>
    </row>
    <row r="83" spans="1:8" x14ac:dyDescent="0.25">
      <c r="A83" s="11" t="s">
        <v>324</v>
      </c>
      <c r="B83" s="96">
        <v>270000</v>
      </c>
      <c r="C83" s="16">
        <v>0</v>
      </c>
      <c r="D83" s="16">
        <v>268050</v>
      </c>
      <c r="E83" s="16">
        <v>0</v>
      </c>
      <c r="F83" s="16">
        <v>268050</v>
      </c>
      <c r="G83" s="97">
        <v>1950</v>
      </c>
      <c r="H83" s="98"/>
    </row>
    <row r="84" spans="1:8" x14ac:dyDescent="0.25">
      <c r="A84" s="25" t="s">
        <v>584</v>
      </c>
      <c r="B84" s="96">
        <v>270000</v>
      </c>
      <c r="C84" s="16">
        <v>0</v>
      </c>
      <c r="D84" s="16">
        <v>268050</v>
      </c>
      <c r="E84" s="16">
        <v>0</v>
      </c>
      <c r="F84" s="16">
        <v>268050</v>
      </c>
      <c r="G84" s="97">
        <v>1950</v>
      </c>
      <c r="H84" s="98"/>
    </row>
    <row r="85" spans="1:8" x14ac:dyDescent="0.25">
      <c r="A85" s="11" t="s">
        <v>90</v>
      </c>
      <c r="B85" s="96">
        <v>340000</v>
      </c>
      <c r="C85" s="16">
        <v>0</v>
      </c>
      <c r="D85" s="16">
        <v>333490</v>
      </c>
      <c r="E85" s="16">
        <v>0</v>
      </c>
      <c r="F85" s="16">
        <v>333490</v>
      </c>
      <c r="G85" s="97">
        <v>6510</v>
      </c>
      <c r="H85" s="98"/>
    </row>
    <row r="86" spans="1:8" x14ac:dyDescent="0.25">
      <c r="A86" s="25" t="s">
        <v>586</v>
      </c>
      <c r="B86" s="96">
        <v>340000</v>
      </c>
      <c r="C86" s="16">
        <v>0</v>
      </c>
      <c r="D86" s="16">
        <v>333490</v>
      </c>
      <c r="E86" s="16">
        <v>0</v>
      </c>
      <c r="F86" s="16">
        <v>333490</v>
      </c>
      <c r="G86" s="97">
        <v>6510</v>
      </c>
      <c r="H86" s="98"/>
    </row>
    <row r="87" spans="1:8" x14ac:dyDescent="0.25">
      <c r="A87" s="3" t="s">
        <v>432</v>
      </c>
      <c r="B87" s="96">
        <v>850000</v>
      </c>
      <c r="C87" s="16">
        <v>90000</v>
      </c>
      <c r="D87" s="16">
        <v>670000</v>
      </c>
      <c r="E87" s="16">
        <v>90000</v>
      </c>
      <c r="F87" s="16">
        <v>850000</v>
      </c>
      <c r="G87" s="97">
        <v>0</v>
      </c>
      <c r="H87" s="98"/>
    </row>
    <row r="88" spans="1:8" x14ac:dyDescent="0.25">
      <c r="A88" s="11" t="s">
        <v>202</v>
      </c>
      <c r="B88" s="96">
        <v>850000</v>
      </c>
      <c r="C88" s="16">
        <v>90000</v>
      </c>
      <c r="D88" s="16">
        <v>670000</v>
      </c>
      <c r="E88" s="16">
        <v>90000</v>
      </c>
      <c r="F88" s="16">
        <v>850000</v>
      </c>
      <c r="G88" s="97">
        <v>0</v>
      </c>
      <c r="H88" s="98"/>
    </row>
    <row r="89" spans="1:8" x14ac:dyDescent="0.25">
      <c r="A89" s="25" t="s">
        <v>492</v>
      </c>
      <c r="B89" s="96">
        <v>850000</v>
      </c>
      <c r="C89" s="16">
        <v>90000</v>
      </c>
      <c r="D89" s="16">
        <v>670000</v>
      </c>
      <c r="E89" s="16">
        <v>90000</v>
      </c>
      <c r="F89" s="16">
        <v>850000</v>
      </c>
      <c r="G89" s="97">
        <v>0</v>
      </c>
      <c r="H89" s="98" t="s">
        <v>568</v>
      </c>
    </row>
    <row r="90" spans="1:8" x14ac:dyDescent="0.25">
      <c r="A90" s="3" t="s">
        <v>577</v>
      </c>
      <c r="B90" s="96">
        <v>100000</v>
      </c>
      <c r="C90" s="16"/>
      <c r="D90" s="16"/>
      <c r="E90" s="16"/>
      <c r="F90" s="16">
        <v>0</v>
      </c>
      <c r="G90" s="97">
        <v>100000</v>
      </c>
      <c r="H90" s="98"/>
    </row>
    <row r="91" spans="1:8" x14ac:dyDescent="0.25">
      <c r="A91" s="11" t="s">
        <v>309</v>
      </c>
      <c r="B91" s="96">
        <v>100000</v>
      </c>
      <c r="C91" s="16"/>
      <c r="D91" s="16"/>
      <c r="E91" s="16"/>
      <c r="F91" s="16">
        <v>0</v>
      </c>
      <c r="G91" s="97">
        <v>100000</v>
      </c>
      <c r="H91" s="98"/>
    </row>
    <row r="92" spans="1:8" x14ac:dyDescent="0.25">
      <c r="A92" s="25" t="s">
        <v>308</v>
      </c>
      <c r="B92" s="96">
        <v>100000</v>
      </c>
      <c r="C92" s="16"/>
      <c r="D92" s="16"/>
      <c r="E92" s="16"/>
      <c r="F92" s="16">
        <v>0</v>
      </c>
      <c r="G92" s="97">
        <v>100000</v>
      </c>
      <c r="H92" s="98"/>
    </row>
    <row r="93" spans="1:8" x14ac:dyDescent="0.25">
      <c r="A93" s="3" t="s">
        <v>581</v>
      </c>
      <c r="B93" s="96">
        <v>1530000</v>
      </c>
      <c r="C93" s="16">
        <v>321000</v>
      </c>
      <c r="D93" s="16">
        <v>1033567.75</v>
      </c>
      <c r="E93" s="16">
        <v>129000</v>
      </c>
      <c r="F93" s="16">
        <v>1483567.75</v>
      </c>
      <c r="G93" s="97">
        <v>46432.25</v>
      </c>
      <c r="H93" s="98"/>
    </row>
    <row r="94" spans="1:8" x14ac:dyDescent="0.25">
      <c r="A94" s="11" t="s">
        <v>60</v>
      </c>
      <c r="B94" s="96">
        <v>1450000</v>
      </c>
      <c r="C94" s="16">
        <v>321000</v>
      </c>
      <c r="D94" s="16">
        <v>963667.75</v>
      </c>
      <c r="E94" s="16">
        <v>129000</v>
      </c>
      <c r="F94" s="16">
        <v>1413667.75</v>
      </c>
      <c r="G94" s="97">
        <v>36332.25</v>
      </c>
      <c r="H94" s="98"/>
    </row>
    <row r="95" spans="1:8" x14ac:dyDescent="0.25">
      <c r="A95" s="25" t="s">
        <v>474</v>
      </c>
      <c r="B95" s="96">
        <v>1450000</v>
      </c>
      <c r="C95" s="16">
        <v>321000</v>
      </c>
      <c r="D95" s="16">
        <v>963667.75</v>
      </c>
      <c r="E95" s="16">
        <v>129000</v>
      </c>
      <c r="F95" s="16">
        <v>1413667.75</v>
      </c>
      <c r="G95" s="97">
        <v>36332.25</v>
      </c>
      <c r="H95" s="98"/>
    </row>
    <row r="96" spans="1:8" x14ac:dyDescent="0.25">
      <c r="A96" s="11" t="s">
        <v>133</v>
      </c>
      <c r="B96" s="96">
        <v>80000</v>
      </c>
      <c r="C96" s="16">
        <v>0</v>
      </c>
      <c r="D96" s="16">
        <v>69900</v>
      </c>
      <c r="E96" s="16">
        <v>0</v>
      </c>
      <c r="F96" s="16">
        <v>69900</v>
      </c>
      <c r="G96" s="97">
        <v>10100</v>
      </c>
      <c r="H96" s="98"/>
    </row>
    <row r="97" spans="1:8" x14ac:dyDescent="0.25">
      <c r="A97" s="25" t="s">
        <v>496</v>
      </c>
      <c r="B97" s="96">
        <v>80000</v>
      </c>
      <c r="C97" s="16">
        <v>0</v>
      </c>
      <c r="D97" s="16">
        <v>69900</v>
      </c>
      <c r="E97" s="16">
        <v>0</v>
      </c>
      <c r="F97" s="16">
        <v>69900</v>
      </c>
      <c r="G97" s="97">
        <v>10100</v>
      </c>
      <c r="H97" s="98"/>
    </row>
    <row r="98" spans="1:8" x14ac:dyDescent="0.25">
      <c r="A98" s="3" t="s">
        <v>582</v>
      </c>
      <c r="B98" s="96">
        <v>1815000</v>
      </c>
      <c r="C98" s="16">
        <v>0</v>
      </c>
      <c r="D98" s="16">
        <v>1648991.6</v>
      </c>
      <c r="E98" s="16">
        <v>150000</v>
      </c>
      <c r="F98" s="16">
        <v>1798991.6</v>
      </c>
      <c r="G98" s="97">
        <v>16008.399999999907</v>
      </c>
      <c r="H98" s="98"/>
    </row>
    <row r="99" spans="1:8" x14ac:dyDescent="0.25">
      <c r="A99" s="11" t="s">
        <v>66</v>
      </c>
      <c r="B99" s="96">
        <v>53000</v>
      </c>
      <c r="C99" s="16">
        <v>0</v>
      </c>
      <c r="D99" s="16">
        <v>52500</v>
      </c>
      <c r="E99" s="16">
        <v>0</v>
      </c>
      <c r="F99" s="16">
        <v>52500</v>
      </c>
      <c r="G99" s="97">
        <v>500</v>
      </c>
    </row>
    <row r="100" spans="1:8" x14ac:dyDescent="0.25">
      <c r="A100" s="25" t="s">
        <v>589</v>
      </c>
      <c r="B100" s="96">
        <v>53000</v>
      </c>
      <c r="C100" s="16">
        <v>0</v>
      </c>
      <c r="D100" s="16">
        <v>52500</v>
      </c>
      <c r="E100" s="16">
        <v>0</v>
      </c>
      <c r="F100" s="16">
        <v>52500</v>
      </c>
      <c r="G100" s="97">
        <v>500</v>
      </c>
    </row>
    <row r="101" spans="1:8" x14ac:dyDescent="0.25">
      <c r="A101" s="11" t="s">
        <v>60</v>
      </c>
      <c r="B101" s="96">
        <v>1250000</v>
      </c>
      <c r="C101" s="16">
        <v>0</v>
      </c>
      <c r="D101" s="16">
        <v>1085116.6000000001</v>
      </c>
      <c r="E101" s="16">
        <v>150000</v>
      </c>
      <c r="F101" s="16">
        <v>1235116.6000000001</v>
      </c>
      <c r="G101" s="97">
        <v>14883.399999999907</v>
      </c>
      <c r="H101" s="98" t="s">
        <v>561</v>
      </c>
    </row>
    <row r="102" spans="1:8" x14ac:dyDescent="0.25">
      <c r="A102" s="25" t="s">
        <v>587</v>
      </c>
      <c r="B102" s="96">
        <v>1250000</v>
      </c>
      <c r="C102" s="16">
        <v>0</v>
      </c>
      <c r="D102" s="16">
        <v>1085116.6000000001</v>
      </c>
      <c r="E102" s="16">
        <v>150000</v>
      </c>
      <c r="F102" s="16">
        <v>1235116.6000000001</v>
      </c>
      <c r="G102" s="97">
        <v>14883.399999999907</v>
      </c>
      <c r="H102" s="98"/>
    </row>
    <row r="103" spans="1:8" x14ac:dyDescent="0.25">
      <c r="A103" s="11" t="s">
        <v>90</v>
      </c>
      <c r="B103" s="96">
        <v>512000</v>
      </c>
      <c r="C103" s="16">
        <v>0</v>
      </c>
      <c r="D103" s="16">
        <v>511375</v>
      </c>
      <c r="E103" s="16">
        <v>0</v>
      </c>
      <c r="F103" s="16">
        <v>511375</v>
      </c>
      <c r="G103" s="97">
        <v>625</v>
      </c>
      <c r="H103" s="98"/>
    </row>
    <row r="104" spans="1:8" x14ac:dyDescent="0.25">
      <c r="A104" s="25" t="s">
        <v>588</v>
      </c>
      <c r="B104" s="96">
        <v>512000</v>
      </c>
      <c r="C104" s="16">
        <v>0</v>
      </c>
      <c r="D104" s="16">
        <v>511375</v>
      </c>
      <c r="E104" s="16">
        <v>0</v>
      </c>
      <c r="F104" s="16">
        <v>511375</v>
      </c>
      <c r="G104" s="97">
        <v>625</v>
      </c>
      <c r="H104" s="98"/>
    </row>
    <row r="105" spans="1:8" x14ac:dyDescent="0.25">
      <c r="A105" s="3" t="s">
        <v>245</v>
      </c>
      <c r="B105" s="96">
        <v>16303000</v>
      </c>
      <c r="C105" s="16">
        <v>812400</v>
      </c>
      <c r="D105" s="16">
        <v>14354174.440000001</v>
      </c>
      <c r="E105" s="16">
        <v>1356400</v>
      </c>
      <c r="F105" s="16">
        <v>16522974.439999999</v>
      </c>
      <c r="G105" s="97">
        <v>-219974.43999999994</v>
      </c>
      <c r="H105" s="98"/>
    </row>
  </sheetData>
  <pageMargins left="0.7" right="0.7" top="0.75" bottom="0.75" header="0.3" footer="0.3"/>
  <pageSetup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B4D6F-636F-4C23-8E3B-3706A317B66B}">
  <dimension ref="A1:N38"/>
  <sheetViews>
    <sheetView topLeftCell="A12" zoomScaleNormal="100" workbookViewId="0">
      <selection activeCell="E22" sqref="E22"/>
    </sheetView>
  </sheetViews>
  <sheetFormatPr defaultRowHeight="15" x14ac:dyDescent="0.25"/>
  <cols>
    <col min="1" max="1" width="13.85546875" customWidth="1"/>
    <col min="2" max="2" width="47" customWidth="1"/>
    <col min="3" max="3" width="15" customWidth="1"/>
    <col min="4" max="4" width="17.140625" customWidth="1"/>
    <col min="5" max="5" width="12.42578125" customWidth="1"/>
    <col min="6" max="6" width="24" customWidth="1"/>
    <col min="7" max="7" width="23" customWidth="1"/>
    <col min="8" max="8" width="17" customWidth="1"/>
    <col min="10" max="11" width="13.42578125" bestFit="1" customWidth="1"/>
    <col min="12" max="12" width="23.28515625" bestFit="1" customWidth="1"/>
    <col min="13" max="13" width="23" bestFit="1" customWidth="1"/>
    <col min="14" max="14" width="16.42578125" bestFit="1" customWidth="1"/>
  </cols>
  <sheetData>
    <row r="1" spans="1:14" ht="30" x14ac:dyDescent="0.25">
      <c r="A1" s="60" t="s">
        <v>445</v>
      </c>
      <c r="B1" s="60" t="s">
        <v>385</v>
      </c>
      <c r="C1" s="60" t="s">
        <v>82</v>
      </c>
      <c r="D1" s="60" t="s">
        <v>65</v>
      </c>
      <c r="E1" s="60" t="s">
        <v>451</v>
      </c>
      <c r="F1" s="60" t="s">
        <v>431</v>
      </c>
      <c r="G1" s="60" t="s">
        <v>35</v>
      </c>
      <c r="H1" s="60" t="s">
        <v>447</v>
      </c>
      <c r="K1" s="10" t="s">
        <v>330</v>
      </c>
      <c r="L1" t="s">
        <v>452</v>
      </c>
      <c r="M1" t="s">
        <v>449</v>
      </c>
      <c r="N1" t="s">
        <v>450</v>
      </c>
    </row>
    <row r="2" spans="1:14" x14ac:dyDescent="0.25">
      <c r="A2" s="60" t="s">
        <v>257</v>
      </c>
      <c r="B2" s="60" t="s">
        <v>448</v>
      </c>
      <c r="C2" s="60"/>
      <c r="D2" s="60"/>
      <c r="E2" s="74"/>
      <c r="F2" s="74"/>
      <c r="G2" s="60"/>
      <c r="H2" s="74">
        <f>(1046408+460178+198651+76155)*0.89</f>
        <v>1585438.8800000001</v>
      </c>
      <c r="K2" s="3" t="s">
        <v>257</v>
      </c>
      <c r="L2" s="26">
        <v>1180077.17</v>
      </c>
      <c r="M2" s="26">
        <v>1585438.8800000001</v>
      </c>
      <c r="N2" s="26">
        <v>405361.7100000002</v>
      </c>
    </row>
    <row r="3" spans="1:14" x14ac:dyDescent="0.25">
      <c r="A3" t="s">
        <v>257</v>
      </c>
      <c r="B3" t="s">
        <v>418</v>
      </c>
      <c r="C3">
        <v>510</v>
      </c>
      <c r="D3" t="s">
        <v>332</v>
      </c>
      <c r="E3" s="55">
        <f>328956*0.1</f>
        <v>32895.599999999999</v>
      </c>
      <c r="F3" s="55">
        <v>0</v>
      </c>
      <c r="H3" s="26"/>
      <c r="K3" s="3" t="s">
        <v>273</v>
      </c>
      <c r="L3" s="26">
        <v>610881</v>
      </c>
      <c r="M3" s="26">
        <v>1585438.8800000001</v>
      </c>
      <c r="N3" s="26">
        <v>974557.88000000012</v>
      </c>
    </row>
    <row r="4" spans="1:14" x14ac:dyDescent="0.25">
      <c r="A4" t="s">
        <v>257</v>
      </c>
      <c r="B4" t="s">
        <v>419</v>
      </c>
      <c r="C4">
        <v>520</v>
      </c>
      <c r="D4" t="s">
        <v>67</v>
      </c>
      <c r="E4" s="55">
        <v>100000</v>
      </c>
      <c r="F4" s="55">
        <v>0</v>
      </c>
      <c r="H4" s="26"/>
      <c r="K4" s="3" t="s">
        <v>245</v>
      </c>
      <c r="L4" s="26">
        <v>1790958.17</v>
      </c>
      <c r="M4" s="26">
        <v>3170877.7600000002</v>
      </c>
      <c r="N4" s="26">
        <v>1379919.5900000003</v>
      </c>
    </row>
    <row r="5" spans="1:14" x14ac:dyDescent="0.25">
      <c r="A5" t="s">
        <v>257</v>
      </c>
      <c r="B5" t="s">
        <v>420</v>
      </c>
      <c r="C5">
        <v>560</v>
      </c>
      <c r="D5" t="s">
        <v>424</v>
      </c>
      <c r="E5" s="55">
        <f>228570*0.1</f>
        <v>22857</v>
      </c>
      <c r="F5" s="55">
        <v>0</v>
      </c>
      <c r="H5" s="26"/>
    </row>
    <row r="6" spans="1:14" x14ac:dyDescent="0.25">
      <c r="A6" t="s">
        <v>257</v>
      </c>
      <c r="B6" t="s">
        <v>421</v>
      </c>
      <c r="C6">
        <v>384</v>
      </c>
      <c r="D6" t="s">
        <v>129</v>
      </c>
      <c r="E6" s="55">
        <v>140000</v>
      </c>
      <c r="F6" s="55">
        <v>0</v>
      </c>
      <c r="H6" s="26"/>
    </row>
    <row r="7" spans="1:14" x14ac:dyDescent="0.25">
      <c r="A7" t="s">
        <v>257</v>
      </c>
      <c r="B7" t="s">
        <v>422</v>
      </c>
      <c r="C7">
        <v>384</v>
      </c>
      <c r="D7" t="s">
        <v>197</v>
      </c>
      <c r="E7" s="55">
        <v>130000</v>
      </c>
      <c r="F7" s="55">
        <v>0</v>
      </c>
      <c r="H7" s="26"/>
    </row>
    <row r="8" spans="1:14" x14ac:dyDescent="0.25">
      <c r="A8" t="s">
        <v>257</v>
      </c>
      <c r="B8" t="s">
        <v>66</v>
      </c>
      <c r="C8">
        <v>520</v>
      </c>
      <c r="D8" t="s">
        <v>200</v>
      </c>
      <c r="E8" s="55">
        <v>12000</v>
      </c>
      <c r="F8" s="55">
        <v>0</v>
      </c>
      <c r="H8" s="26"/>
    </row>
    <row r="9" spans="1:14" x14ac:dyDescent="0.25">
      <c r="A9" t="s">
        <v>257</v>
      </c>
      <c r="B9" t="s">
        <v>423</v>
      </c>
      <c r="C9">
        <v>382</v>
      </c>
      <c r="D9" t="s">
        <v>183</v>
      </c>
      <c r="E9" s="55">
        <v>140000</v>
      </c>
      <c r="F9" s="55">
        <v>0</v>
      </c>
      <c r="H9" s="26"/>
    </row>
    <row r="10" spans="1:14" x14ac:dyDescent="0.25">
      <c r="A10" t="s">
        <v>257</v>
      </c>
      <c r="B10" t="s">
        <v>361</v>
      </c>
      <c r="C10">
        <v>560</v>
      </c>
      <c r="D10" t="s">
        <v>306</v>
      </c>
      <c r="E10" s="55">
        <v>10000</v>
      </c>
      <c r="F10" s="55">
        <v>10000</v>
      </c>
      <c r="H10" s="26"/>
    </row>
    <row r="11" spans="1:14" x14ac:dyDescent="0.25">
      <c r="A11" t="s">
        <v>257</v>
      </c>
      <c r="B11" t="s">
        <v>426</v>
      </c>
      <c r="C11">
        <v>560</v>
      </c>
      <c r="D11" t="s">
        <v>305</v>
      </c>
      <c r="E11" s="55">
        <v>10000</v>
      </c>
      <c r="F11" s="55">
        <v>20000</v>
      </c>
      <c r="H11" s="26"/>
    </row>
    <row r="12" spans="1:14" x14ac:dyDescent="0.25">
      <c r="A12" t="s">
        <v>257</v>
      </c>
      <c r="B12" t="s">
        <v>427</v>
      </c>
      <c r="C12">
        <v>383</v>
      </c>
      <c r="D12" t="s">
        <v>382</v>
      </c>
      <c r="E12" s="55">
        <v>100000</v>
      </c>
      <c r="F12" s="55">
        <v>0</v>
      </c>
      <c r="H12" s="26"/>
    </row>
    <row r="13" spans="1:14" x14ac:dyDescent="0.25">
      <c r="A13" t="s">
        <v>257</v>
      </c>
      <c r="B13" t="s">
        <v>154</v>
      </c>
      <c r="C13">
        <v>384</v>
      </c>
      <c r="D13" t="s">
        <v>237</v>
      </c>
      <c r="E13" s="55">
        <v>100000</v>
      </c>
      <c r="F13" s="55">
        <v>100000</v>
      </c>
      <c r="H13" s="26"/>
    </row>
    <row r="14" spans="1:14" x14ac:dyDescent="0.25">
      <c r="A14" t="s">
        <v>257</v>
      </c>
      <c r="B14" t="s">
        <v>295</v>
      </c>
      <c r="C14">
        <v>381</v>
      </c>
      <c r="D14" t="s">
        <v>272</v>
      </c>
      <c r="E14" s="55">
        <v>50000</v>
      </c>
      <c r="F14" s="55">
        <v>50000</v>
      </c>
      <c r="G14" t="s">
        <v>429</v>
      </c>
      <c r="H14" s="26"/>
    </row>
    <row r="15" spans="1:14" x14ac:dyDescent="0.25">
      <c r="A15" t="s">
        <v>257</v>
      </c>
      <c r="B15" t="s">
        <v>430</v>
      </c>
      <c r="C15">
        <v>383</v>
      </c>
      <c r="D15" t="s">
        <v>206</v>
      </c>
      <c r="E15" s="55">
        <v>145000</v>
      </c>
      <c r="F15" s="55">
        <v>0</v>
      </c>
      <c r="H15" s="26"/>
    </row>
    <row r="16" spans="1:14" x14ac:dyDescent="0.25">
      <c r="A16" t="s">
        <v>257</v>
      </c>
      <c r="B16" t="s">
        <v>147</v>
      </c>
      <c r="C16">
        <v>560</v>
      </c>
      <c r="D16" t="s">
        <v>189</v>
      </c>
      <c r="E16" s="55">
        <v>2324.5700000000002</v>
      </c>
      <c r="F16" s="55"/>
      <c r="H16" s="26"/>
    </row>
    <row r="17" spans="1:8" x14ac:dyDescent="0.25">
      <c r="A17" t="s">
        <v>257</v>
      </c>
      <c r="B17" t="s">
        <v>442</v>
      </c>
      <c r="E17" s="55">
        <v>120000</v>
      </c>
      <c r="F17" s="55">
        <v>0</v>
      </c>
      <c r="H17" s="26"/>
    </row>
    <row r="18" spans="1:8" x14ac:dyDescent="0.25">
      <c r="A18" t="s">
        <v>257</v>
      </c>
      <c r="B18" t="s">
        <v>443</v>
      </c>
      <c r="C18">
        <v>60</v>
      </c>
      <c r="D18" t="s">
        <v>441</v>
      </c>
      <c r="E18" s="55">
        <v>45000</v>
      </c>
      <c r="F18" s="55">
        <v>0</v>
      </c>
      <c r="H18" s="26"/>
    </row>
    <row r="19" spans="1:8" x14ac:dyDescent="0.25">
      <c r="A19" t="s">
        <v>257</v>
      </c>
      <c r="B19" t="s">
        <v>453</v>
      </c>
      <c r="C19">
        <v>560</v>
      </c>
      <c r="D19" t="s">
        <v>85</v>
      </c>
      <c r="E19" s="55">
        <v>20000</v>
      </c>
      <c r="F19" s="55">
        <f>123680-5300-5000-1000-1200-2600-2600-3900-COA_Journal_Entries[[#This Row],[Journaled this FY]]</f>
        <v>82080</v>
      </c>
      <c r="H19" s="26"/>
    </row>
    <row r="20" spans="1:8" x14ac:dyDescent="0.25">
      <c r="A20" t="s">
        <v>257</v>
      </c>
      <c r="E20" s="55"/>
      <c r="F20" s="55"/>
      <c r="H20" s="26"/>
    </row>
    <row r="21" spans="1:8" x14ac:dyDescent="0.25">
      <c r="A21" t="s">
        <v>257</v>
      </c>
      <c r="E21" s="55"/>
      <c r="F21" s="55"/>
      <c r="H21" s="26"/>
    </row>
    <row r="22" spans="1:8" x14ac:dyDescent="0.25">
      <c r="A22" t="s">
        <v>257</v>
      </c>
      <c r="D22" s="71"/>
      <c r="E22" s="55"/>
      <c r="F22" s="55"/>
      <c r="H22" s="26"/>
    </row>
    <row r="23" spans="1:8" x14ac:dyDescent="0.25">
      <c r="A23" t="s">
        <v>257</v>
      </c>
      <c r="E23" s="55"/>
      <c r="F23" s="55"/>
      <c r="H23" s="26"/>
    </row>
    <row r="24" spans="1:8" x14ac:dyDescent="0.25">
      <c r="A24" t="s">
        <v>257</v>
      </c>
      <c r="E24" s="55"/>
      <c r="F24" s="55"/>
      <c r="H24" s="26"/>
    </row>
    <row r="25" spans="1:8" x14ac:dyDescent="0.25">
      <c r="A25" t="s">
        <v>257</v>
      </c>
      <c r="E25" s="55"/>
      <c r="F25" s="55"/>
      <c r="H25" s="26"/>
    </row>
    <row r="26" spans="1:8" x14ac:dyDescent="0.25">
      <c r="A26" t="s">
        <v>257</v>
      </c>
      <c r="E26" s="55"/>
      <c r="F26" s="55"/>
      <c r="H26" s="26"/>
    </row>
    <row r="27" spans="1:8" x14ac:dyDescent="0.25">
      <c r="A27" t="s">
        <v>257</v>
      </c>
      <c r="E27" s="55"/>
      <c r="F27" s="55"/>
      <c r="H27" s="26"/>
    </row>
    <row r="28" spans="1:8" x14ac:dyDescent="0.25">
      <c r="A28" t="s">
        <v>257</v>
      </c>
      <c r="E28" s="55"/>
      <c r="F28" s="55"/>
      <c r="H28" s="26"/>
    </row>
    <row r="29" spans="1:8" x14ac:dyDescent="0.25">
      <c r="A29" t="s">
        <v>273</v>
      </c>
      <c r="B29" t="s">
        <v>448</v>
      </c>
      <c r="E29" s="55"/>
      <c r="F29" s="55"/>
      <c r="H29" s="26">
        <f>(1046408+460178+198651+76155)*0.89</f>
        <v>1585438.8800000001</v>
      </c>
    </row>
    <row r="30" spans="1:8" x14ac:dyDescent="0.25">
      <c r="A30" t="s">
        <v>273</v>
      </c>
      <c r="B30" t="s">
        <v>238</v>
      </c>
      <c r="C30">
        <v>384</v>
      </c>
      <c r="D30" t="s">
        <v>144</v>
      </c>
      <c r="E30" s="69">
        <v>250000</v>
      </c>
      <c r="F30" s="55">
        <v>0</v>
      </c>
      <c r="G30" t="s">
        <v>436</v>
      </c>
      <c r="H30" s="26"/>
    </row>
    <row r="31" spans="1:8" x14ac:dyDescent="0.25">
      <c r="A31" t="s">
        <v>273</v>
      </c>
      <c r="B31" t="s">
        <v>361</v>
      </c>
      <c r="C31">
        <v>560</v>
      </c>
      <c r="D31" t="s">
        <v>306</v>
      </c>
      <c r="E31" s="69">
        <v>10000</v>
      </c>
      <c r="F31" s="55">
        <v>0</v>
      </c>
      <c r="H31" s="26"/>
    </row>
    <row r="32" spans="1:8" x14ac:dyDescent="0.25">
      <c r="A32" t="s">
        <v>273</v>
      </c>
      <c r="B32" t="s">
        <v>426</v>
      </c>
      <c r="C32">
        <v>560</v>
      </c>
      <c r="D32" t="s">
        <v>305</v>
      </c>
      <c r="E32" s="69">
        <v>20000</v>
      </c>
      <c r="F32" s="55">
        <v>0</v>
      </c>
      <c r="H32" s="26"/>
    </row>
    <row r="33" spans="1:8" x14ac:dyDescent="0.25">
      <c r="A33" t="s">
        <v>273</v>
      </c>
      <c r="B33" t="s">
        <v>154</v>
      </c>
      <c r="C33">
        <v>384</v>
      </c>
      <c r="D33" t="s">
        <v>237</v>
      </c>
      <c r="E33" s="69">
        <v>100000</v>
      </c>
      <c r="F33" s="55">
        <v>0</v>
      </c>
      <c r="H33" s="26"/>
    </row>
    <row r="34" spans="1:8" x14ac:dyDescent="0.25">
      <c r="A34" t="s">
        <v>273</v>
      </c>
      <c r="B34" t="s">
        <v>437</v>
      </c>
      <c r="C34">
        <v>382</v>
      </c>
      <c r="D34" t="s">
        <v>275</v>
      </c>
      <c r="E34" s="69">
        <v>100000</v>
      </c>
      <c r="F34" s="55">
        <v>0</v>
      </c>
      <c r="H34" s="26"/>
    </row>
    <row r="35" spans="1:8" x14ac:dyDescent="0.25">
      <c r="A35" t="s">
        <v>273</v>
      </c>
      <c r="B35" t="s">
        <v>270</v>
      </c>
      <c r="C35">
        <v>320</v>
      </c>
      <c r="D35" s="33" t="s">
        <v>269</v>
      </c>
      <c r="E35" s="69">
        <f>147750/2</f>
        <v>73875</v>
      </c>
      <c r="F35" s="69">
        <f>147750/2</f>
        <v>73875</v>
      </c>
      <c r="H35" s="26"/>
    </row>
    <row r="36" spans="1:8" x14ac:dyDescent="0.25">
      <c r="A36" t="s">
        <v>273</v>
      </c>
      <c r="B36" t="s">
        <v>143</v>
      </c>
      <c r="C36">
        <v>520</v>
      </c>
      <c r="D36" t="s">
        <v>185</v>
      </c>
      <c r="E36" s="69">
        <v>32006</v>
      </c>
      <c r="F36" s="55"/>
      <c r="G36" t="s">
        <v>436</v>
      </c>
      <c r="H36" s="26"/>
    </row>
    <row r="37" spans="1:8" x14ac:dyDescent="0.25">
      <c r="A37" t="s">
        <v>273</v>
      </c>
      <c r="B37" t="s">
        <v>444</v>
      </c>
      <c r="E37" s="69">
        <v>25000</v>
      </c>
      <c r="F37" s="55"/>
      <c r="H37" s="26"/>
    </row>
    <row r="38" spans="1:8" x14ac:dyDescent="0.25">
      <c r="A38" t="s">
        <v>273</v>
      </c>
      <c r="B38" t="s">
        <v>453</v>
      </c>
      <c r="C38">
        <v>560</v>
      </c>
      <c r="D38" t="s">
        <v>85</v>
      </c>
      <c r="E38" s="69">
        <f>F37</f>
        <v>0</v>
      </c>
      <c r="F38" s="55"/>
      <c r="H38" s="26"/>
    </row>
  </sheetData>
  <phoneticPr fontId="11" type="noConversion"/>
  <pageMargins left="0.7" right="0.7" top="0.75" bottom="0.75" header="0.3" footer="0.3"/>
  <pageSetup paperSize="5" scale="96" orientation="landscape" r:id="rId2"/>
  <headerFooter>
    <oddHeader>&amp;C
FY 2024/25 Engineering Salary Allocations</oddHeader>
  </headerFooter>
  <colBreaks count="1" manualBreakCount="1">
    <brk id="6" max="1048575" man="1"/>
  </colBreaks>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CCB48-3F12-4009-9D0C-40FE730D7B76}">
  <dimension ref="A1:G89"/>
  <sheetViews>
    <sheetView workbookViewId="0">
      <selection activeCell="A6" sqref="A6"/>
    </sheetView>
  </sheetViews>
  <sheetFormatPr defaultRowHeight="15" x14ac:dyDescent="0.25"/>
  <cols>
    <col min="1" max="1" width="185.5703125" bestFit="1" customWidth="1"/>
    <col min="2" max="2" width="21.140625" bestFit="1" customWidth="1"/>
    <col min="3" max="3" width="34.42578125" bestFit="1" customWidth="1"/>
    <col min="4" max="4" width="170.42578125" bestFit="1" customWidth="1"/>
    <col min="5" max="5" width="19.28515625" bestFit="1" customWidth="1"/>
    <col min="6" max="6" width="185.5703125" bestFit="1" customWidth="1"/>
    <col min="7" max="7" width="21.140625" bestFit="1" customWidth="1"/>
    <col min="8" max="8" width="19.28515625" bestFit="1" customWidth="1"/>
    <col min="9" max="9" width="17.85546875" bestFit="1" customWidth="1"/>
    <col min="10" max="10" width="12.140625" bestFit="1" customWidth="1"/>
  </cols>
  <sheetData>
    <row r="1" spans="1:7" x14ac:dyDescent="0.25">
      <c r="A1" s="10" t="s">
        <v>47</v>
      </c>
      <c r="B1" t="s">
        <v>338</v>
      </c>
    </row>
    <row r="3" spans="1:7" x14ac:dyDescent="0.25">
      <c r="A3" s="10" t="s">
        <v>330</v>
      </c>
      <c r="B3" t="s">
        <v>331</v>
      </c>
      <c r="F3" s="10" t="s">
        <v>330</v>
      </c>
      <c r="G3" t="s">
        <v>331</v>
      </c>
    </row>
    <row r="4" spans="1:7" x14ac:dyDescent="0.25">
      <c r="A4" s="3" t="s">
        <v>251</v>
      </c>
      <c r="B4" s="26">
        <v>654000</v>
      </c>
      <c r="F4" s="3" t="s">
        <v>487</v>
      </c>
      <c r="G4" s="26">
        <v>400000</v>
      </c>
    </row>
    <row r="5" spans="1:7" x14ac:dyDescent="0.25">
      <c r="A5" s="11" t="s">
        <v>68</v>
      </c>
      <c r="B5" s="26">
        <v>654000</v>
      </c>
      <c r="F5" s="11" t="s">
        <v>322</v>
      </c>
      <c r="G5" s="26">
        <v>400000</v>
      </c>
    </row>
    <row r="6" spans="1:7" x14ac:dyDescent="0.25">
      <c r="A6" s="25" t="s">
        <v>365</v>
      </c>
      <c r="B6" s="26">
        <v>654000</v>
      </c>
      <c r="F6" s="25" t="s">
        <v>460</v>
      </c>
      <c r="G6" s="26">
        <v>400000</v>
      </c>
    </row>
    <row r="7" spans="1:7" x14ac:dyDescent="0.25">
      <c r="A7" s="3" t="s">
        <v>252</v>
      </c>
      <c r="B7" s="26">
        <v>2158000</v>
      </c>
      <c r="F7" s="3" t="s">
        <v>169</v>
      </c>
      <c r="G7" s="26">
        <v>4092601.46</v>
      </c>
    </row>
    <row r="8" spans="1:7" x14ac:dyDescent="0.25">
      <c r="A8" s="11" t="s">
        <v>68</v>
      </c>
      <c r="B8" s="26">
        <v>2158000</v>
      </c>
      <c r="F8" s="11" t="s">
        <v>322</v>
      </c>
      <c r="G8" s="26">
        <v>3154121</v>
      </c>
    </row>
    <row r="9" spans="1:7" x14ac:dyDescent="0.25">
      <c r="A9" s="25" t="s">
        <v>137</v>
      </c>
      <c r="B9" s="26">
        <v>2158000</v>
      </c>
      <c r="F9" s="25" t="s">
        <v>346</v>
      </c>
      <c r="G9" s="26">
        <v>654121</v>
      </c>
    </row>
    <row r="10" spans="1:7" x14ac:dyDescent="0.25">
      <c r="A10" s="3" t="s">
        <v>254</v>
      </c>
      <c r="B10" s="26">
        <v>130091</v>
      </c>
      <c r="F10" s="25" t="s">
        <v>236</v>
      </c>
      <c r="G10" s="26">
        <v>200000</v>
      </c>
    </row>
    <row r="11" spans="1:7" x14ac:dyDescent="0.25">
      <c r="A11" s="11" t="s">
        <v>68</v>
      </c>
      <c r="B11" s="26">
        <v>130091</v>
      </c>
      <c r="F11" s="25" t="s">
        <v>438</v>
      </c>
      <c r="G11" s="26">
        <v>2300000</v>
      </c>
    </row>
    <row r="12" spans="1:7" x14ac:dyDescent="0.25">
      <c r="A12" s="25" t="s">
        <v>56</v>
      </c>
      <c r="B12" s="26">
        <v>130091</v>
      </c>
      <c r="F12" s="11" t="s">
        <v>68</v>
      </c>
      <c r="G12" s="26">
        <v>130091</v>
      </c>
    </row>
    <row r="13" spans="1:7" x14ac:dyDescent="0.25">
      <c r="A13" s="3" t="s">
        <v>255</v>
      </c>
      <c r="B13" s="26">
        <v>8343486</v>
      </c>
      <c r="F13" s="25" t="s">
        <v>56</v>
      </c>
      <c r="G13" s="26">
        <v>130091</v>
      </c>
    </row>
    <row r="14" spans="1:7" x14ac:dyDescent="0.25">
      <c r="A14" s="11" t="s">
        <v>322</v>
      </c>
      <c r="B14" s="26">
        <v>7462240</v>
      </c>
      <c r="F14" s="25" t="s">
        <v>417</v>
      </c>
      <c r="G14" s="26"/>
    </row>
    <row r="15" spans="1:7" x14ac:dyDescent="0.25">
      <c r="A15" s="25" t="s">
        <v>222</v>
      </c>
      <c r="B15" s="26">
        <v>2100000</v>
      </c>
      <c r="F15" s="11" t="s">
        <v>64</v>
      </c>
      <c r="G15" s="26">
        <v>808389.46</v>
      </c>
    </row>
    <row r="16" spans="1:7" x14ac:dyDescent="0.25">
      <c r="A16" s="25" t="s">
        <v>221</v>
      </c>
      <c r="B16" s="26">
        <v>2336322</v>
      </c>
      <c r="F16" s="25" t="s">
        <v>195</v>
      </c>
      <c r="G16" s="26">
        <v>808389.46</v>
      </c>
    </row>
    <row r="17" spans="1:7" x14ac:dyDescent="0.25">
      <c r="A17" s="25" t="s">
        <v>438</v>
      </c>
      <c r="B17" s="26">
        <v>2300000</v>
      </c>
      <c r="F17" s="3" t="s">
        <v>48</v>
      </c>
      <c r="G17" s="26">
        <v>12024404</v>
      </c>
    </row>
    <row r="18" spans="1:7" x14ac:dyDescent="0.25">
      <c r="A18" s="25" t="s">
        <v>478</v>
      </c>
      <c r="B18" s="26">
        <v>725918</v>
      </c>
      <c r="F18" s="11" t="s">
        <v>322</v>
      </c>
      <c r="G18" s="26">
        <v>55500</v>
      </c>
    </row>
    <row r="19" spans="1:7" x14ac:dyDescent="0.25">
      <c r="A19" s="11" t="s">
        <v>68</v>
      </c>
      <c r="B19" s="26">
        <v>881246</v>
      </c>
      <c r="F19" s="25" t="s">
        <v>154</v>
      </c>
      <c r="G19" s="26">
        <v>35000</v>
      </c>
    </row>
    <row r="20" spans="1:7" x14ac:dyDescent="0.25">
      <c r="A20" s="25" t="s">
        <v>368</v>
      </c>
      <c r="B20" s="26">
        <v>632146</v>
      </c>
      <c r="F20" s="25" t="s">
        <v>345</v>
      </c>
      <c r="G20" s="26">
        <v>20500</v>
      </c>
    </row>
    <row r="21" spans="1:7" x14ac:dyDescent="0.25">
      <c r="A21" s="25" t="s">
        <v>219</v>
      </c>
      <c r="B21" s="26">
        <v>249100</v>
      </c>
      <c r="F21" s="11" t="s">
        <v>68</v>
      </c>
      <c r="G21" s="26">
        <v>3040146</v>
      </c>
    </row>
    <row r="22" spans="1:7" x14ac:dyDescent="0.25">
      <c r="A22" s="3" t="s">
        <v>256</v>
      </c>
      <c r="B22" s="26">
        <v>12573447.460000001</v>
      </c>
      <c r="F22" s="25" t="s">
        <v>368</v>
      </c>
      <c r="G22" s="26">
        <v>632146</v>
      </c>
    </row>
    <row r="23" spans="1:7" x14ac:dyDescent="0.25">
      <c r="A23" s="11" t="s">
        <v>322</v>
      </c>
      <c r="B23" s="26">
        <v>8389121</v>
      </c>
      <c r="F23" s="25" t="s">
        <v>137</v>
      </c>
      <c r="G23" s="26">
        <v>2158000</v>
      </c>
    </row>
    <row r="24" spans="1:7" x14ac:dyDescent="0.25">
      <c r="A24" s="25" t="s">
        <v>154</v>
      </c>
      <c r="B24" s="26">
        <v>35000</v>
      </c>
      <c r="F24" s="25" t="s">
        <v>271</v>
      </c>
      <c r="G24" s="26">
        <v>250000</v>
      </c>
    </row>
    <row r="25" spans="1:7" x14ac:dyDescent="0.25">
      <c r="A25" s="25" t="s">
        <v>346</v>
      </c>
      <c r="B25" s="26">
        <v>654121</v>
      </c>
      <c r="F25" s="11" t="s">
        <v>30</v>
      </c>
      <c r="G25" s="26">
        <v>6390958</v>
      </c>
    </row>
    <row r="26" spans="1:7" x14ac:dyDescent="0.25">
      <c r="A26" s="25" t="s">
        <v>236</v>
      </c>
      <c r="B26" s="26">
        <v>200000</v>
      </c>
      <c r="F26" s="25" t="s">
        <v>154</v>
      </c>
      <c r="G26" s="26">
        <v>1365300</v>
      </c>
    </row>
    <row r="27" spans="1:7" x14ac:dyDescent="0.25">
      <c r="A27" s="25" t="s">
        <v>412</v>
      </c>
      <c r="B27" s="26">
        <v>7500000</v>
      </c>
      <c r="F27" s="25" t="s">
        <v>345</v>
      </c>
      <c r="G27" s="26">
        <v>2620890</v>
      </c>
    </row>
    <row r="28" spans="1:7" x14ac:dyDescent="0.25">
      <c r="A28" s="11" t="s">
        <v>68</v>
      </c>
      <c r="B28" s="26">
        <v>600000</v>
      </c>
      <c r="F28" s="25" t="s">
        <v>271</v>
      </c>
      <c r="G28" s="26">
        <v>683937</v>
      </c>
    </row>
    <row r="29" spans="1:7" x14ac:dyDescent="0.25">
      <c r="A29" s="25" t="s">
        <v>536</v>
      </c>
      <c r="B29" s="26">
        <v>600000</v>
      </c>
      <c r="F29" s="25" t="s">
        <v>236</v>
      </c>
      <c r="G29" s="26">
        <v>982837</v>
      </c>
    </row>
    <row r="30" spans="1:7" x14ac:dyDescent="0.25">
      <c r="A30" s="11" t="s">
        <v>30</v>
      </c>
      <c r="B30" s="26">
        <v>2348137</v>
      </c>
      <c r="F30" s="25" t="s">
        <v>437</v>
      </c>
      <c r="G30" s="26">
        <v>737994</v>
      </c>
    </row>
    <row r="31" spans="1:7" x14ac:dyDescent="0.25">
      <c r="A31" s="25" t="s">
        <v>154</v>
      </c>
      <c r="B31" s="26">
        <v>1365300</v>
      </c>
      <c r="F31" s="11" t="s">
        <v>64</v>
      </c>
      <c r="G31" s="26">
        <v>2537800</v>
      </c>
    </row>
    <row r="32" spans="1:7" x14ac:dyDescent="0.25">
      <c r="A32" s="25" t="s">
        <v>236</v>
      </c>
      <c r="B32" s="26">
        <v>982837</v>
      </c>
      <c r="F32" s="25" t="s">
        <v>154</v>
      </c>
      <c r="G32" s="26">
        <v>28000</v>
      </c>
    </row>
    <row r="33" spans="1:7" x14ac:dyDescent="0.25">
      <c r="A33" s="11" t="s">
        <v>64</v>
      </c>
      <c r="B33" s="26">
        <v>1236189.46</v>
      </c>
      <c r="F33" s="25" t="s">
        <v>297</v>
      </c>
      <c r="G33" s="26">
        <v>700000</v>
      </c>
    </row>
    <row r="34" spans="1:7" x14ac:dyDescent="0.25">
      <c r="A34" s="25" t="s">
        <v>154</v>
      </c>
      <c r="B34" s="26">
        <v>28000</v>
      </c>
      <c r="F34" s="25" t="s">
        <v>344</v>
      </c>
      <c r="G34" s="26">
        <v>680000</v>
      </c>
    </row>
    <row r="35" spans="1:7" x14ac:dyDescent="0.25">
      <c r="A35" s="25" t="s">
        <v>195</v>
      </c>
      <c r="B35" s="26">
        <v>808389.46</v>
      </c>
      <c r="F35" s="25" t="s">
        <v>236</v>
      </c>
      <c r="G35" s="26">
        <v>399800</v>
      </c>
    </row>
    <row r="36" spans="1:7" x14ac:dyDescent="0.25">
      <c r="A36" s="25" t="s">
        <v>236</v>
      </c>
      <c r="B36" s="26">
        <v>399800</v>
      </c>
      <c r="F36" s="25" t="s">
        <v>437</v>
      </c>
      <c r="G36" s="26">
        <v>350000</v>
      </c>
    </row>
    <row r="37" spans="1:7" x14ac:dyDescent="0.25">
      <c r="A37" s="3" t="s">
        <v>257</v>
      </c>
      <c r="B37" s="26">
        <v>8615578</v>
      </c>
      <c r="F37" s="25" t="s">
        <v>465</v>
      </c>
      <c r="G37" s="26">
        <v>380000</v>
      </c>
    </row>
    <row r="38" spans="1:7" x14ac:dyDescent="0.25">
      <c r="A38" s="11" t="s">
        <v>322</v>
      </c>
      <c r="B38" s="26">
        <v>20500</v>
      </c>
      <c r="F38" s="3" t="s">
        <v>36</v>
      </c>
      <c r="G38" s="26">
        <v>31885597</v>
      </c>
    </row>
    <row r="39" spans="1:7" x14ac:dyDescent="0.25">
      <c r="A39" s="25" t="s">
        <v>345</v>
      </c>
      <c r="B39" s="26">
        <v>20500</v>
      </c>
      <c r="F39" s="11" t="s">
        <v>322</v>
      </c>
      <c r="G39" s="26">
        <v>13058240</v>
      </c>
    </row>
    <row r="40" spans="1:7" x14ac:dyDescent="0.25">
      <c r="A40" s="11" t="s">
        <v>68</v>
      </c>
      <c r="B40" s="26">
        <v>1242257</v>
      </c>
      <c r="F40" s="25" t="s">
        <v>222</v>
      </c>
      <c r="G40" s="26">
        <v>2100000</v>
      </c>
    </row>
    <row r="41" spans="1:7" x14ac:dyDescent="0.25">
      <c r="A41" s="25" t="s">
        <v>339</v>
      </c>
      <c r="B41" s="26">
        <v>350000</v>
      </c>
      <c r="F41" s="25" t="s">
        <v>221</v>
      </c>
      <c r="G41" s="26">
        <v>2336322</v>
      </c>
    </row>
    <row r="42" spans="1:7" x14ac:dyDescent="0.25">
      <c r="A42" s="25" t="s">
        <v>271</v>
      </c>
      <c r="B42" s="26">
        <v>250000</v>
      </c>
      <c r="F42" s="25" t="s">
        <v>279</v>
      </c>
      <c r="G42" s="26">
        <v>100000</v>
      </c>
    </row>
    <row r="43" spans="1:7" x14ac:dyDescent="0.25">
      <c r="A43" s="25" t="s">
        <v>364</v>
      </c>
      <c r="B43" s="26">
        <v>642257</v>
      </c>
      <c r="F43" s="25" t="s">
        <v>412</v>
      </c>
      <c r="G43" s="26">
        <v>7500000</v>
      </c>
    </row>
    <row r="44" spans="1:7" x14ac:dyDescent="0.25">
      <c r="A44" s="25" t="s">
        <v>417</v>
      </c>
      <c r="B44" s="26"/>
      <c r="F44" s="25" t="s">
        <v>433</v>
      </c>
      <c r="G44" s="26">
        <v>68000</v>
      </c>
    </row>
    <row r="45" spans="1:7" x14ac:dyDescent="0.25">
      <c r="A45" s="11" t="s">
        <v>30</v>
      </c>
      <c r="B45" s="26">
        <v>4042821</v>
      </c>
      <c r="F45" s="25" t="s">
        <v>560</v>
      </c>
      <c r="G45" s="26">
        <v>95000</v>
      </c>
    </row>
    <row r="46" spans="1:7" x14ac:dyDescent="0.25">
      <c r="A46" s="25" t="s">
        <v>345</v>
      </c>
      <c r="B46" s="26">
        <v>2620890</v>
      </c>
      <c r="F46" s="25" t="s">
        <v>478</v>
      </c>
      <c r="G46" s="26">
        <v>725918</v>
      </c>
    </row>
    <row r="47" spans="1:7" x14ac:dyDescent="0.25">
      <c r="A47" s="25" t="s">
        <v>271</v>
      </c>
      <c r="B47" s="26">
        <v>683937</v>
      </c>
      <c r="F47" s="25" t="s">
        <v>505</v>
      </c>
      <c r="G47" s="26">
        <v>0</v>
      </c>
    </row>
    <row r="48" spans="1:7" x14ac:dyDescent="0.25">
      <c r="A48" s="25" t="s">
        <v>437</v>
      </c>
      <c r="B48" s="26">
        <v>737994</v>
      </c>
      <c r="F48" s="25" t="s">
        <v>581</v>
      </c>
      <c r="G48" s="26">
        <v>80000</v>
      </c>
    </row>
    <row r="49" spans="1:7" x14ac:dyDescent="0.25">
      <c r="A49" s="11" t="s">
        <v>64</v>
      </c>
      <c r="B49" s="26">
        <v>3310000</v>
      </c>
      <c r="F49" s="25" t="s">
        <v>582</v>
      </c>
      <c r="G49" s="26">
        <v>53000</v>
      </c>
    </row>
    <row r="50" spans="1:7" x14ac:dyDescent="0.25">
      <c r="A50" s="25" t="s">
        <v>196</v>
      </c>
      <c r="B50" s="26">
        <v>1200000</v>
      </c>
      <c r="F50" s="11" t="s">
        <v>327</v>
      </c>
      <c r="G50" s="26">
        <v>100000</v>
      </c>
    </row>
    <row r="51" spans="1:7" x14ac:dyDescent="0.25">
      <c r="A51" s="25" t="s">
        <v>297</v>
      </c>
      <c r="B51" s="26">
        <v>700000</v>
      </c>
      <c r="F51" s="25" t="s">
        <v>276</v>
      </c>
      <c r="G51" s="26">
        <v>100000</v>
      </c>
    </row>
    <row r="52" spans="1:7" x14ac:dyDescent="0.25">
      <c r="A52" s="25" t="s">
        <v>344</v>
      </c>
      <c r="B52" s="26">
        <v>680000</v>
      </c>
      <c r="F52" s="11" t="s">
        <v>68</v>
      </c>
      <c r="G52" s="26">
        <v>4275357</v>
      </c>
    </row>
    <row r="53" spans="1:7" x14ac:dyDescent="0.25">
      <c r="A53" s="25" t="s">
        <v>437</v>
      </c>
      <c r="B53" s="26">
        <v>350000</v>
      </c>
      <c r="F53" s="25" t="s">
        <v>307</v>
      </c>
      <c r="G53" s="26">
        <v>500000</v>
      </c>
    </row>
    <row r="54" spans="1:7" x14ac:dyDescent="0.25">
      <c r="A54" s="25" t="s">
        <v>465</v>
      </c>
      <c r="B54" s="26">
        <v>380000</v>
      </c>
      <c r="F54" s="25" t="s">
        <v>219</v>
      </c>
      <c r="G54" s="26">
        <v>249100</v>
      </c>
    </row>
    <row r="55" spans="1:7" x14ac:dyDescent="0.25">
      <c r="A55" s="3" t="s">
        <v>273</v>
      </c>
      <c r="B55" s="26">
        <v>15928000</v>
      </c>
      <c r="F55" s="25" t="s">
        <v>339</v>
      </c>
      <c r="G55" s="26">
        <v>350000</v>
      </c>
    </row>
    <row r="56" spans="1:7" x14ac:dyDescent="0.25">
      <c r="A56" s="11" t="s">
        <v>322</v>
      </c>
      <c r="B56" s="26">
        <v>796000</v>
      </c>
      <c r="F56" s="25" t="s">
        <v>279</v>
      </c>
      <c r="G56" s="26">
        <v>60000</v>
      </c>
    </row>
    <row r="57" spans="1:7" x14ac:dyDescent="0.25">
      <c r="A57" s="25" t="s">
        <v>279</v>
      </c>
      <c r="B57" s="26">
        <v>100000</v>
      </c>
      <c r="F57" s="25" t="s">
        <v>365</v>
      </c>
      <c r="G57" s="26">
        <v>654000</v>
      </c>
    </row>
    <row r="58" spans="1:7" x14ac:dyDescent="0.25">
      <c r="A58" s="25" t="s">
        <v>433</v>
      </c>
      <c r="B58" s="26">
        <v>68000</v>
      </c>
      <c r="F58" s="25" t="s">
        <v>364</v>
      </c>
      <c r="G58" s="26">
        <v>642257</v>
      </c>
    </row>
    <row r="59" spans="1:7" x14ac:dyDescent="0.25">
      <c r="A59" s="25" t="s">
        <v>460</v>
      </c>
      <c r="B59" s="26">
        <v>400000</v>
      </c>
      <c r="F59" s="25" t="s">
        <v>432</v>
      </c>
      <c r="G59" s="26">
        <v>850000</v>
      </c>
    </row>
    <row r="60" spans="1:7" x14ac:dyDescent="0.25">
      <c r="A60" s="25" t="s">
        <v>560</v>
      </c>
      <c r="B60" s="26">
        <v>95000</v>
      </c>
      <c r="F60" s="25" t="s">
        <v>560</v>
      </c>
      <c r="G60" s="26">
        <v>270000</v>
      </c>
    </row>
    <row r="61" spans="1:7" x14ac:dyDescent="0.25">
      <c r="A61" s="25" t="s">
        <v>505</v>
      </c>
      <c r="B61" s="26">
        <v>0</v>
      </c>
      <c r="F61" s="25" t="s">
        <v>536</v>
      </c>
      <c r="G61" s="26">
        <v>600000</v>
      </c>
    </row>
    <row r="62" spans="1:7" x14ac:dyDescent="0.25">
      <c r="A62" s="25" t="s">
        <v>581</v>
      </c>
      <c r="B62" s="26">
        <v>80000</v>
      </c>
      <c r="F62" s="25" t="s">
        <v>577</v>
      </c>
      <c r="G62" s="26">
        <v>100000</v>
      </c>
    </row>
    <row r="63" spans="1:7" x14ac:dyDescent="0.25">
      <c r="A63" s="25" t="s">
        <v>582</v>
      </c>
      <c r="B63" s="26">
        <v>53000</v>
      </c>
      <c r="F63" s="11" t="s">
        <v>30</v>
      </c>
      <c r="G63" s="26">
        <v>10650000</v>
      </c>
    </row>
    <row r="64" spans="1:7" x14ac:dyDescent="0.25">
      <c r="A64" s="11" t="s">
        <v>327</v>
      </c>
      <c r="B64" s="26">
        <v>100000</v>
      </c>
      <c r="F64" s="25" t="s">
        <v>376</v>
      </c>
      <c r="G64" s="26">
        <v>400000</v>
      </c>
    </row>
    <row r="65" spans="1:7" x14ac:dyDescent="0.25">
      <c r="A65" s="25" t="s">
        <v>276</v>
      </c>
      <c r="B65" s="26">
        <v>100000</v>
      </c>
      <c r="F65" s="25" t="s">
        <v>276</v>
      </c>
      <c r="G65" s="26">
        <v>1200000</v>
      </c>
    </row>
    <row r="66" spans="1:7" x14ac:dyDescent="0.25">
      <c r="A66" s="11" t="s">
        <v>68</v>
      </c>
      <c r="B66" s="26">
        <v>1780000</v>
      </c>
      <c r="F66" s="25" t="s">
        <v>473</v>
      </c>
      <c r="G66" s="26">
        <v>250000</v>
      </c>
    </row>
    <row r="67" spans="1:7" x14ac:dyDescent="0.25">
      <c r="A67" s="25" t="s">
        <v>307</v>
      </c>
      <c r="B67" s="26">
        <v>500000</v>
      </c>
      <c r="F67" s="25" t="s">
        <v>279</v>
      </c>
      <c r="G67" s="26">
        <v>4000000</v>
      </c>
    </row>
    <row r="68" spans="1:7" x14ac:dyDescent="0.25">
      <c r="A68" s="25" t="s">
        <v>279</v>
      </c>
      <c r="B68" s="26">
        <v>60000</v>
      </c>
      <c r="F68" s="25" t="s">
        <v>409</v>
      </c>
      <c r="G68" s="26">
        <v>1000000</v>
      </c>
    </row>
    <row r="69" spans="1:7" x14ac:dyDescent="0.25">
      <c r="A69" s="25" t="s">
        <v>432</v>
      </c>
      <c r="B69" s="26">
        <v>850000</v>
      </c>
      <c r="F69" s="25" t="s">
        <v>560</v>
      </c>
      <c r="G69" s="26">
        <v>1100000</v>
      </c>
    </row>
    <row r="70" spans="1:7" x14ac:dyDescent="0.25">
      <c r="A70" s="25" t="s">
        <v>560</v>
      </c>
      <c r="B70" s="26">
        <v>270000</v>
      </c>
      <c r="F70" s="25" t="s">
        <v>581</v>
      </c>
      <c r="G70" s="26">
        <v>1450000</v>
      </c>
    </row>
    <row r="71" spans="1:7" x14ac:dyDescent="0.25">
      <c r="A71" s="25" t="s">
        <v>577</v>
      </c>
      <c r="B71" s="26">
        <v>100000</v>
      </c>
      <c r="F71" s="25" t="s">
        <v>582</v>
      </c>
      <c r="G71" s="26">
        <v>1250000</v>
      </c>
    </row>
    <row r="72" spans="1:7" x14ac:dyDescent="0.25">
      <c r="A72" s="11" t="s">
        <v>30</v>
      </c>
      <c r="B72" s="26">
        <v>10650000</v>
      </c>
      <c r="F72" s="11" t="s">
        <v>292</v>
      </c>
      <c r="G72" s="26">
        <v>150000</v>
      </c>
    </row>
    <row r="73" spans="1:7" x14ac:dyDescent="0.25">
      <c r="A73" s="25" t="s">
        <v>376</v>
      </c>
      <c r="B73" s="26">
        <v>400000</v>
      </c>
      <c r="F73" s="25" t="s">
        <v>409</v>
      </c>
      <c r="G73" s="26">
        <v>150000</v>
      </c>
    </row>
    <row r="74" spans="1:7" x14ac:dyDescent="0.25">
      <c r="A74" s="25" t="s">
        <v>276</v>
      </c>
      <c r="B74" s="26">
        <v>1200000</v>
      </c>
      <c r="F74" s="11" t="s">
        <v>64</v>
      </c>
      <c r="G74" s="26">
        <v>3652000</v>
      </c>
    </row>
    <row r="75" spans="1:7" x14ac:dyDescent="0.25">
      <c r="A75" s="25" t="s">
        <v>473</v>
      </c>
      <c r="B75" s="26">
        <v>250000</v>
      </c>
      <c r="F75" s="25" t="s">
        <v>196</v>
      </c>
      <c r="G75" s="26">
        <v>1200000</v>
      </c>
    </row>
    <row r="76" spans="1:7" x14ac:dyDescent="0.25">
      <c r="A76" s="25" t="s">
        <v>279</v>
      </c>
      <c r="B76" s="26">
        <v>4000000</v>
      </c>
      <c r="F76" s="25" t="s">
        <v>279</v>
      </c>
      <c r="G76" s="26">
        <v>229999.99999999997</v>
      </c>
    </row>
    <row r="77" spans="1:7" x14ac:dyDescent="0.25">
      <c r="A77" s="25" t="s">
        <v>409</v>
      </c>
      <c r="B77" s="26">
        <v>1000000</v>
      </c>
      <c r="F77" s="25" t="s">
        <v>409</v>
      </c>
      <c r="G77" s="26">
        <v>680000</v>
      </c>
    </row>
    <row r="78" spans="1:7" x14ac:dyDescent="0.25">
      <c r="A78" s="25" t="s">
        <v>560</v>
      </c>
      <c r="B78" s="26">
        <v>1100000</v>
      </c>
      <c r="F78" s="25" t="s">
        <v>433</v>
      </c>
      <c r="G78" s="26">
        <v>690000</v>
      </c>
    </row>
    <row r="79" spans="1:7" x14ac:dyDescent="0.25">
      <c r="A79" s="25" t="s">
        <v>581</v>
      </c>
      <c r="B79" s="26">
        <v>1450000</v>
      </c>
      <c r="F79" s="25" t="s">
        <v>560</v>
      </c>
      <c r="G79" s="26">
        <v>340000</v>
      </c>
    </row>
    <row r="80" spans="1:7" x14ac:dyDescent="0.25">
      <c r="A80" s="25" t="s">
        <v>582</v>
      </c>
      <c r="B80" s="26">
        <v>1250000</v>
      </c>
      <c r="F80" s="25" t="s">
        <v>582</v>
      </c>
      <c r="G80" s="26">
        <v>512000</v>
      </c>
    </row>
    <row r="81" spans="1:7" x14ac:dyDescent="0.25">
      <c r="A81" s="11" t="s">
        <v>292</v>
      </c>
      <c r="B81" s="26">
        <v>150000</v>
      </c>
      <c r="F81" s="3" t="s">
        <v>245</v>
      </c>
      <c r="G81" s="26">
        <v>48402602.460000001</v>
      </c>
    </row>
    <row r="82" spans="1:7" x14ac:dyDescent="0.25">
      <c r="A82" s="25" t="s">
        <v>409</v>
      </c>
      <c r="B82" s="26">
        <v>150000</v>
      </c>
    </row>
    <row r="83" spans="1:7" x14ac:dyDescent="0.25">
      <c r="A83" s="11" t="s">
        <v>64</v>
      </c>
      <c r="B83" s="26">
        <v>2452000</v>
      </c>
    </row>
    <row r="84" spans="1:7" x14ac:dyDescent="0.25">
      <c r="A84" s="25" t="s">
        <v>279</v>
      </c>
      <c r="B84" s="26">
        <v>229999.99999999997</v>
      </c>
    </row>
    <row r="85" spans="1:7" x14ac:dyDescent="0.25">
      <c r="A85" s="25" t="s">
        <v>409</v>
      </c>
      <c r="B85" s="26">
        <v>680000</v>
      </c>
    </row>
    <row r="86" spans="1:7" x14ac:dyDescent="0.25">
      <c r="A86" s="25" t="s">
        <v>433</v>
      </c>
      <c r="B86" s="26">
        <v>690000</v>
      </c>
    </row>
    <row r="87" spans="1:7" x14ac:dyDescent="0.25">
      <c r="A87" s="25" t="s">
        <v>560</v>
      </c>
      <c r="B87" s="26">
        <v>340000</v>
      </c>
    </row>
    <row r="88" spans="1:7" x14ac:dyDescent="0.25">
      <c r="A88" s="25" t="s">
        <v>582</v>
      </c>
      <c r="B88" s="26">
        <v>512000</v>
      </c>
    </row>
    <row r="89" spans="1:7" x14ac:dyDescent="0.25">
      <c r="A89" s="3" t="s">
        <v>245</v>
      </c>
      <c r="B89" s="26">
        <v>48402602.460000001</v>
      </c>
    </row>
  </sheetData>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1AE50-BF60-4164-904E-2F5822794B51}">
  <sheetPr>
    <pageSetUpPr fitToPage="1"/>
  </sheetPr>
  <dimension ref="A1:F32"/>
  <sheetViews>
    <sheetView topLeftCell="A16" zoomScaleNormal="100" workbookViewId="0">
      <selection activeCell="A18" sqref="A18"/>
    </sheetView>
  </sheetViews>
  <sheetFormatPr defaultRowHeight="15" x14ac:dyDescent="0.25"/>
  <cols>
    <col min="1" max="1" width="185.85546875" bestFit="1" customWidth="1"/>
    <col min="2" max="2" width="21.140625" bestFit="1" customWidth="1"/>
    <col min="3" max="3" width="18.28515625" bestFit="1" customWidth="1"/>
    <col min="5" max="5" width="18.28515625" bestFit="1" customWidth="1"/>
    <col min="6" max="6" width="14.5703125" bestFit="1" customWidth="1"/>
    <col min="7" max="7" width="26.85546875" bestFit="1" customWidth="1"/>
    <col min="9" max="9" width="19.42578125" bestFit="1" customWidth="1"/>
    <col min="10" max="10" width="29.7109375" bestFit="1" customWidth="1"/>
  </cols>
  <sheetData>
    <row r="1" spans="1:6" x14ac:dyDescent="0.25">
      <c r="A1" s="10" t="s">
        <v>47</v>
      </c>
      <c r="B1" t="s">
        <v>338</v>
      </c>
      <c r="E1" s="10" t="s">
        <v>47</v>
      </c>
      <c r="F1" t="s">
        <v>338</v>
      </c>
    </row>
    <row r="3" spans="1:6" x14ac:dyDescent="0.25">
      <c r="A3" s="10" t="s">
        <v>330</v>
      </c>
      <c r="B3" t="s">
        <v>331</v>
      </c>
      <c r="C3" t="s">
        <v>247</v>
      </c>
      <c r="E3" s="10" t="s">
        <v>330</v>
      </c>
      <c r="F3" t="s">
        <v>395</v>
      </c>
    </row>
    <row r="4" spans="1:6" x14ac:dyDescent="0.25">
      <c r="A4" s="3" t="s">
        <v>368</v>
      </c>
      <c r="B4" s="26">
        <v>632146</v>
      </c>
      <c r="C4" s="26">
        <v>523245.2</v>
      </c>
      <c r="E4" s="3" t="s">
        <v>322</v>
      </c>
      <c r="F4" s="105">
        <v>3</v>
      </c>
    </row>
    <row r="5" spans="1:6" x14ac:dyDescent="0.25">
      <c r="A5" s="11" t="s">
        <v>68</v>
      </c>
      <c r="B5" s="26">
        <v>632146</v>
      </c>
      <c r="C5" s="26">
        <v>523245.2</v>
      </c>
      <c r="E5" s="3" t="s">
        <v>68</v>
      </c>
      <c r="F5" s="105">
        <v>4</v>
      </c>
    </row>
    <row r="6" spans="1:6" x14ac:dyDescent="0.25">
      <c r="A6" s="3" t="s">
        <v>154</v>
      </c>
      <c r="B6" s="26">
        <v>1428300</v>
      </c>
      <c r="C6" s="26">
        <v>1261356</v>
      </c>
      <c r="E6" s="3" t="s">
        <v>30</v>
      </c>
      <c r="F6" s="105">
        <v>13</v>
      </c>
    </row>
    <row r="7" spans="1:6" x14ac:dyDescent="0.25">
      <c r="A7" s="11" t="s">
        <v>322</v>
      </c>
      <c r="B7" s="26">
        <v>35000</v>
      </c>
      <c r="C7" s="26">
        <v>35000</v>
      </c>
      <c r="E7" s="3" t="s">
        <v>64</v>
      </c>
      <c r="F7" s="105">
        <v>6</v>
      </c>
    </row>
    <row r="8" spans="1:6" x14ac:dyDescent="0.25">
      <c r="A8" s="11" t="s">
        <v>30</v>
      </c>
      <c r="B8" s="26">
        <v>1365300</v>
      </c>
      <c r="C8" s="26">
        <v>1198926</v>
      </c>
      <c r="E8" s="3" t="s">
        <v>245</v>
      </c>
      <c r="F8" s="105">
        <v>26</v>
      </c>
    </row>
    <row r="9" spans="1:6" x14ac:dyDescent="0.25">
      <c r="A9" s="11" t="s">
        <v>64</v>
      </c>
      <c r="B9" s="26">
        <v>28000</v>
      </c>
      <c r="C9" s="26">
        <v>27430</v>
      </c>
    </row>
    <row r="10" spans="1:6" x14ac:dyDescent="0.25">
      <c r="A10" s="3" t="s">
        <v>345</v>
      </c>
      <c r="B10" s="26">
        <v>2641390</v>
      </c>
      <c r="C10" s="26">
        <v>2011694.05</v>
      </c>
    </row>
    <row r="11" spans="1:6" x14ac:dyDescent="0.25">
      <c r="A11" s="11" t="s">
        <v>322</v>
      </c>
      <c r="B11" s="26">
        <v>20500</v>
      </c>
      <c r="C11" s="26">
        <v>20500</v>
      </c>
    </row>
    <row r="12" spans="1:6" x14ac:dyDescent="0.25">
      <c r="A12" s="11" t="s">
        <v>30</v>
      </c>
      <c r="B12" s="26">
        <v>2620890</v>
      </c>
      <c r="C12" s="26">
        <v>1991194.05</v>
      </c>
    </row>
    <row r="13" spans="1:6" x14ac:dyDescent="0.25">
      <c r="A13" s="3" t="s">
        <v>137</v>
      </c>
      <c r="B13" s="26">
        <v>2158000</v>
      </c>
      <c r="C13" s="26">
        <v>1687433</v>
      </c>
    </row>
    <row r="14" spans="1:6" x14ac:dyDescent="0.25">
      <c r="A14" s="11" t="s">
        <v>68</v>
      </c>
      <c r="B14" s="26">
        <v>2158000</v>
      </c>
      <c r="C14" s="26">
        <v>1687433</v>
      </c>
    </row>
    <row r="15" spans="1:6" x14ac:dyDescent="0.25">
      <c r="A15" s="3" t="s">
        <v>271</v>
      </c>
      <c r="B15" s="26">
        <v>933937</v>
      </c>
      <c r="C15" s="26">
        <v>767926.1</v>
      </c>
    </row>
    <row r="16" spans="1:6" x14ac:dyDescent="0.25">
      <c r="A16" s="11" t="s">
        <v>68</v>
      </c>
      <c r="B16" s="26">
        <v>250000</v>
      </c>
      <c r="C16" s="26">
        <v>196124</v>
      </c>
    </row>
    <row r="17" spans="1:6" x14ac:dyDescent="0.25">
      <c r="A17" s="11" t="s">
        <v>30</v>
      </c>
      <c r="B17" s="26">
        <v>683937</v>
      </c>
      <c r="C17" s="26">
        <v>571802.1</v>
      </c>
    </row>
    <row r="18" spans="1:6" x14ac:dyDescent="0.25">
      <c r="A18" s="3" t="s">
        <v>297</v>
      </c>
      <c r="B18" s="26">
        <v>700000</v>
      </c>
      <c r="C18" s="26">
        <v>559321.30000000005</v>
      </c>
    </row>
    <row r="19" spans="1:6" x14ac:dyDescent="0.25">
      <c r="A19" s="11" t="s">
        <v>64</v>
      </c>
      <c r="B19" s="26">
        <v>700000</v>
      </c>
      <c r="C19" s="26">
        <v>559321.30000000005</v>
      </c>
    </row>
    <row r="20" spans="1:6" x14ac:dyDescent="0.25">
      <c r="A20" s="3" t="s">
        <v>344</v>
      </c>
      <c r="B20" s="26">
        <v>680000</v>
      </c>
      <c r="C20" s="26">
        <v>484024.4</v>
      </c>
    </row>
    <row r="21" spans="1:6" x14ac:dyDescent="0.25">
      <c r="A21" s="11" t="s">
        <v>64</v>
      </c>
      <c r="B21" s="26">
        <v>680000</v>
      </c>
      <c r="C21" s="26">
        <v>484024.4</v>
      </c>
    </row>
    <row r="22" spans="1:6" x14ac:dyDescent="0.25">
      <c r="A22" s="3" t="s">
        <v>236</v>
      </c>
      <c r="B22" s="26">
        <v>1382637</v>
      </c>
      <c r="C22" s="26">
        <v>1129947</v>
      </c>
    </row>
    <row r="23" spans="1:6" x14ac:dyDescent="0.25">
      <c r="A23" s="11" t="s">
        <v>30</v>
      </c>
      <c r="B23" s="26">
        <v>982837</v>
      </c>
      <c r="C23" s="26">
        <v>789902</v>
      </c>
    </row>
    <row r="24" spans="1:6" x14ac:dyDescent="0.25">
      <c r="A24" s="11" t="s">
        <v>64</v>
      </c>
      <c r="B24" s="26">
        <v>399800</v>
      </c>
      <c r="C24" s="26">
        <v>340045</v>
      </c>
    </row>
    <row r="25" spans="1:6" x14ac:dyDescent="0.25">
      <c r="A25" s="3" t="s">
        <v>437</v>
      </c>
      <c r="B25" s="26">
        <v>1087994</v>
      </c>
      <c r="C25" s="26">
        <v>800154.95</v>
      </c>
      <c r="E25" s="10" t="s">
        <v>47</v>
      </c>
      <c r="F25" t="s">
        <v>48</v>
      </c>
    </row>
    <row r="26" spans="1:6" x14ac:dyDescent="0.25">
      <c r="A26" s="11" t="s">
        <v>30</v>
      </c>
      <c r="B26" s="26">
        <v>737994</v>
      </c>
      <c r="C26" s="26">
        <v>557379.94999999995</v>
      </c>
    </row>
    <row r="27" spans="1:6" x14ac:dyDescent="0.25">
      <c r="A27" s="11" t="s">
        <v>64</v>
      </c>
      <c r="B27" s="26">
        <v>350000</v>
      </c>
      <c r="C27" s="26">
        <v>242775</v>
      </c>
      <c r="E27" t="s">
        <v>247</v>
      </c>
    </row>
    <row r="28" spans="1:6" x14ac:dyDescent="0.25">
      <c r="A28" s="3" t="s">
        <v>460</v>
      </c>
      <c r="B28" s="26">
        <v>400000</v>
      </c>
      <c r="C28" s="26">
        <v>322189.3</v>
      </c>
      <c r="E28" s="26">
        <v>9539528</v>
      </c>
    </row>
    <row r="29" spans="1:6" x14ac:dyDescent="0.25">
      <c r="A29" s="11" t="s">
        <v>322</v>
      </c>
      <c r="B29" s="26">
        <v>400000</v>
      </c>
      <c r="C29" s="26">
        <v>322189.3</v>
      </c>
    </row>
    <row r="30" spans="1:6" x14ac:dyDescent="0.25">
      <c r="A30" s="3" t="s">
        <v>465</v>
      </c>
      <c r="B30" s="26">
        <v>380000</v>
      </c>
      <c r="C30" s="26">
        <v>314426</v>
      </c>
    </row>
    <row r="31" spans="1:6" x14ac:dyDescent="0.25">
      <c r="A31" s="11" t="s">
        <v>64</v>
      </c>
      <c r="B31" s="26">
        <v>380000</v>
      </c>
      <c r="C31" s="26">
        <v>314426</v>
      </c>
    </row>
    <row r="32" spans="1:6" x14ac:dyDescent="0.25">
      <c r="A32" s="3" t="s">
        <v>245</v>
      </c>
      <c r="B32" s="26">
        <v>12424404</v>
      </c>
      <c r="C32" s="26">
        <v>9861717.3000000007</v>
      </c>
    </row>
  </sheetData>
  <pageMargins left="0.7" right="0.7" top="0.75" bottom="0.75" header="0.3" footer="0.3"/>
  <pageSetup paperSize="17" scale="88" fitToHeight="0"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48DF8-1B86-403F-995D-C15BA2FFCDE1}">
  <dimension ref="A1:M28"/>
  <sheetViews>
    <sheetView workbookViewId="0">
      <selection activeCell="A4" sqref="A4"/>
    </sheetView>
  </sheetViews>
  <sheetFormatPr defaultRowHeight="15" x14ac:dyDescent="0.25"/>
  <cols>
    <col min="1" max="1" width="58.42578125" bestFit="1" customWidth="1"/>
    <col min="2" max="2" width="21.140625" bestFit="1" customWidth="1"/>
    <col min="3" max="3" width="23.28515625" bestFit="1" customWidth="1"/>
    <col min="4" max="4" width="20.7109375" bestFit="1" customWidth="1"/>
    <col min="5" max="5" width="18.28515625" bestFit="1" customWidth="1"/>
    <col min="6" max="6" width="30.7109375" bestFit="1" customWidth="1"/>
    <col min="7" max="7" width="42.140625" bestFit="1" customWidth="1"/>
    <col min="8" max="8" width="34.42578125" bestFit="1" customWidth="1"/>
    <col min="9" max="9" width="19.42578125" bestFit="1" customWidth="1"/>
    <col min="10" max="10" width="29.7109375" bestFit="1" customWidth="1"/>
    <col min="12" max="12" width="20.5703125" bestFit="1" customWidth="1"/>
    <col min="13" max="13" width="21.85546875" bestFit="1" customWidth="1"/>
  </cols>
  <sheetData>
    <row r="1" spans="1:13" x14ac:dyDescent="0.25">
      <c r="A1" s="10" t="s">
        <v>47</v>
      </c>
      <c r="B1" t="s">
        <v>169</v>
      </c>
      <c r="L1" s="10" t="s">
        <v>47</v>
      </c>
      <c r="M1" t="s">
        <v>338</v>
      </c>
    </row>
    <row r="3" spans="1:13" x14ac:dyDescent="0.25">
      <c r="A3" s="10" t="s">
        <v>402</v>
      </c>
      <c r="B3" t="s">
        <v>331</v>
      </c>
      <c r="C3" t="s">
        <v>399</v>
      </c>
      <c r="D3" t="s">
        <v>246</v>
      </c>
      <c r="E3" t="s">
        <v>247</v>
      </c>
      <c r="F3" t="s">
        <v>248</v>
      </c>
      <c r="G3" t="s">
        <v>400</v>
      </c>
      <c r="L3" s="10" t="s">
        <v>330</v>
      </c>
      <c r="M3" t="s">
        <v>395</v>
      </c>
    </row>
    <row r="4" spans="1:13" x14ac:dyDescent="0.25">
      <c r="A4" s="3" t="s">
        <v>195</v>
      </c>
      <c r="B4" s="26">
        <v>808389.46</v>
      </c>
      <c r="C4" s="26">
        <v>0</v>
      </c>
      <c r="D4" s="26">
        <v>910652.5</v>
      </c>
      <c r="E4" s="26">
        <v>808389.46</v>
      </c>
      <c r="F4" s="26">
        <v>890901.93</v>
      </c>
      <c r="G4" s="26">
        <v>122000</v>
      </c>
      <c r="I4" t="s">
        <v>405</v>
      </c>
      <c r="L4" s="3" t="s">
        <v>322</v>
      </c>
      <c r="M4" s="105">
        <v>3</v>
      </c>
    </row>
    <row r="5" spans="1:13" x14ac:dyDescent="0.25">
      <c r="A5" s="3" t="s">
        <v>56</v>
      </c>
      <c r="B5" s="26">
        <v>130091</v>
      </c>
      <c r="C5" s="26">
        <v>24908.3</v>
      </c>
      <c r="D5" s="26">
        <v>84980</v>
      </c>
      <c r="E5" s="26">
        <v>111600</v>
      </c>
      <c r="F5" s="26"/>
      <c r="G5" s="26">
        <v>35000</v>
      </c>
      <c r="L5" s="3" t="s">
        <v>68</v>
      </c>
      <c r="M5" s="105">
        <v>4</v>
      </c>
    </row>
    <row r="6" spans="1:13" x14ac:dyDescent="0.25">
      <c r="A6" s="3" t="s">
        <v>346</v>
      </c>
      <c r="B6" s="26">
        <v>654121</v>
      </c>
      <c r="C6" s="26">
        <v>0</v>
      </c>
      <c r="D6" s="26">
        <v>702275</v>
      </c>
      <c r="E6" s="26">
        <v>551057.69999999995</v>
      </c>
      <c r="F6" s="26">
        <v>542759.19999999995</v>
      </c>
      <c r="G6" s="26">
        <v>135000</v>
      </c>
      <c r="L6" s="3" t="s">
        <v>30</v>
      </c>
      <c r="M6" s="105">
        <v>13</v>
      </c>
    </row>
    <row r="7" spans="1:13" x14ac:dyDescent="0.25">
      <c r="A7" s="3" t="s">
        <v>236</v>
      </c>
      <c r="B7" s="26">
        <v>200000</v>
      </c>
      <c r="C7" s="26">
        <v>0</v>
      </c>
      <c r="D7" s="26">
        <v>231475</v>
      </c>
      <c r="E7" s="26">
        <v>381800</v>
      </c>
      <c r="F7" s="26"/>
      <c r="G7" s="26">
        <v>0</v>
      </c>
      <c r="L7" s="3" t="s">
        <v>64</v>
      </c>
      <c r="M7" s="105">
        <v>6</v>
      </c>
    </row>
    <row r="8" spans="1:13" x14ac:dyDescent="0.25">
      <c r="A8" s="3" t="s">
        <v>417</v>
      </c>
      <c r="B8" s="26"/>
      <c r="C8" s="26">
        <v>0</v>
      </c>
      <c r="D8" s="26"/>
      <c r="E8" s="26"/>
      <c r="F8" s="26"/>
      <c r="G8" s="26">
        <v>22857</v>
      </c>
      <c r="L8" s="3" t="s">
        <v>245</v>
      </c>
      <c r="M8" s="105">
        <v>26</v>
      </c>
    </row>
    <row r="9" spans="1:13" x14ac:dyDescent="0.25">
      <c r="A9" s="3" t="s">
        <v>438</v>
      </c>
      <c r="B9" s="26">
        <v>2300000</v>
      </c>
      <c r="C9" s="26">
        <v>98700</v>
      </c>
      <c r="D9" s="26">
        <v>2833264.5</v>
      </c>
      <c r="E9" s="26">
        <v>2125500</v>
      </c>
      <c r="F9" s="26">
        <v>2282092.96</v>
      </c>
      <c r="G9" s="26">
        <v>0</v>
      </c>
    </row>
    <row r="10" spans="1:13" x14ac:dyDescent="0.25">
      <c r="A10" s="3" t="s">
        <v>245</v>
      </c>
      <c r="B10" s="26">
        <v>4092601.46</v>
      </c>
      <c r="C10" s="26">
        <v>123608.3</v>
      </c>
      <c r="D10" s="26">
        <v>4762647</v>
      </c>
      <c r="E10" s="26">
        <v>3978347.16</v>
      </c>
      <c r="F10" s="26">
        <v>3715754.09</v>
      </c>
      <c r="G10" s="26">
        <v>314857</v>
      </c>
    </row>
    <row r="25" spans="12:13" x14ac:dyDescent="0.25">
      <c r="L25" s="10" t="s">
        <v>47</v>
      </c>
      <c r="M25" t="s">
        <v>48</v>
      </c>
    </row>
    <row r="27" spans="12:13" x14ac:dyDescent="0.25">
      <c r="L27" t="s">
        <v>247</v>
      </c>
    </row>
    <row r="28" spans="12:13" x14ac:dyDescent="0.25">
      <c r="L28" s="26">
        <v>9539528</v>
      </c>
    </row>
  </sheetData>
  <pageMargins left="0.7" right="0.7" top="0.75" bottom="0.75" header="0.3" footer="0.3"/>
  <pageSetup paperSize="17" orientation="landscape"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A816A-D543-4370-AC50-05369236780D}">
  <sheetPr>
    <pageSetUpPr fitToPage="1"/>
  </sheetPr>
  <dimension ref="A1:F52"/>
  <sheetViews>
    <sheetView zoomScale="101" zoomScaleNormal="101" workbookViewId="0">
      <selection activeCell="A5" sqref="A5"/>
    </sheetView>
  </sheetViews>
  <sheetFormatPr defaultRowHeight="15" x14ac:dyDescent="0.25"/>
  <cols>
    <col min="1" max="1" width="114" bestFit="1" customWidth="1"/>
    <col min="2" max="2" width="21.140625" bestFit="1" customWidth="1"/>
    <col min="3" max="3" width="20.7109375" bestFit="1" customWidth="1"/>
    <col min="5" max="5" width="21.140625" bestFit="1" customWidth="1"/>
    <col min="6" max="6" width="9.28515625" bestFit="1" customWidth="1"/>
    <col min="7" max="7" width="26.85546875" bestFit="1" customWidth="1"/>
    <col min="9" max="9" width="19.42578125" bestFit="1" customWidth="1"/>
    <col min="10" max="10" width="29.7109375" bestFit="1" customWidth="1"/>
  </cols>
  <sheetData>
    <row r="1" spans="1:6" x14ac:dyDescent="0.25">
      <c r="A1" s="10" t="s">
        <v>47</v>
      </c>
      <c r="B1" t="s">
        <v>36</v>
      </c>
      <c r="E1" s="10" t="s">
        <v>47</v>
      </c>
      <c r="F1" t="s">
        <v>36</v>
      </c>
    </row>
    <row r="3" spans="1:6" x14ac:dyDescent="0.25">
      <c r="A3" s="10" t="s">
        <v>330</v>
      </c>
      <c r="B3" t="s">
        <v>331</v>
      </c>
      <c r="C3" t="s">
        <v>246</v>
      </c>
      <c r="E3" s="10" t="s">
        <v>330</v>
      </c>
      <c r="F3" t="s">
        <v>395</v>
      </c>
    </row>
    <row r="4" spans="1:6" x14ac:dyDescent="0.25">
      <c r="A4" s="3" t="s">
        <v>307</v>
      </c>
      <c r="B4" s="26">
        <v>500000</v>
      </c>
      <c r="C4" s="26"/>
      <c r="E4" s="3" t="s">
        <v>322</v>
      </c>
      <c r="F4" s="105">
        <v>12</v>
      </c>
    </row>
    <row r="5" spans="1:6" x14ac:dyDescent="0.25">
      <c r="A5" s="11" t="s">
        <v>10</v>
      </c>
      <c r="B5" s="26">
        <v>500000</v>
      </c>
      <c r="C5" s="26"/>
      <c r="E5" s="3" t="s">
        <v>327</v>
      </c>
      <c r="F5" s="105">
        <v>1</v>
      </c>
    </row>
    <row r="6" spans="1:6" x14ac:dyDescent="0.25">
      <c r="A6" s="3" t="s">
        <v>376</v>
      </c>
      <c r="B6" s="26">
        <v>400000</v>
      </c>
      <c r="C6" s="26">
        <v>160000</v>
      </c>
      <c r="E6" s="3" t="s">
        <v>68</v>
      </c>
      <c r="F6" s="105">
        <v>10</v>
      </c>
    </row>
    <row r="7" spans="1:6" x14ac:dyDescent="0.25">
      <c r="A7" s="11" t="s">
        <v>10</v>
      </c>
      <c r="B7" s="26">
        <v>400000</v>
      </c>
      <c r="C7" s="26">
        <v>160000</v>
      </c>
      <c r="E7" s="3" t="s">
        <v>30</v>
      </c>
      <c r="F7" s="105">
        <v>9</v>
      </c>
    </row>
    <row r="8" spans="1:6" x14ac:dyDescent="0.25">
      <c r="A8" s="3" t="s">
        <v>222</v>
      </c>
      <c r="B8" s="26">
        <v>2100000</v>
      </c>
      <c r="C8" s="26"/>
      <c r="E8" s="3" t="s">
        <v>292</v>
      </c>
      <c r="F8" s="105">
        <v>1</v>
      </c>
    </row>
    <row r="9" spans="1:6" x14ac:dyDescent="0.25">
      <c r="A9" s="11" t="s">
        <v>10</v>
      </c>
      <c r="B9" s="26">
        <v>2100000</v>
      </c>
      <c r="C9" s="26"/>
      <c r="E9" s="3" t="s">
        <v>64</v>
      </c>
      <c r="F9" s="105">
        <v>6</v>
      </c>
    </row>
    <row r="10" spans="1:6" x14ac:dyDescent="0.25">
      <c r="A10" s="3" t="s">
        <v>276</v>
      </c>
      <c r="B10" s="26">
        <v>1300000</v>
      </c>
      <c r="C10" s="26">
        <v>1057386.5</v>
      </c>
      <c r="E10" s="3" t="s">
        <v>245</v>
      </c>
      <c r="F10" s="105">
        <v>39</v>
      </c>
    </row>
    <row r="11" spans="1:6" x14ac:dyDescent="0.25">
      <c r="A11" s="11" t="s">
        <v>13</v>
      </c>
      <c r="B11" s="26">
        <v>1300000</v>
      </c>
      <c r="C11" s="26">
        <v>1057386.5</v>
      </c>
    </row>
    <row r="12" spans="1:6" x14ac:dyDescent="0.25">
      <c r="A12" s="3" t="s">
        <v>219</v>
      </c>
      <c r="B12" s="26">
        <v>249100</v>
      </c>
      <c r="C12" s="26"/>
    </row>
    <row r="13" spans="1:6" x14ac:dyDescent="0.25">
      <c r="A13" s="11" t="s">
        <v>10</v>
      </c>
      <c r="B13" s="26">
        <v>249100</v>
      </c>
      <c r="C13" s="26"/>
    </row>
    <row r="14" spans="1:6" x14ac:dyDescent="0.25">
      <c r="A14" s="3" t="s">
        <v>339</v>
      </c>
      <c r="B14" s="26">
        <v>350000</v>
      </c>
      <c r="C14" s="26"/>
    </row>
    <row r="15" spans="1:6" x14ac:dyDescent="0.25">
      <c r="A15" s="11" t="s">
        <v>10</v>
      </c>
      <c r="B15" s="26">
        <v>350000</v>
      </c>
      <c r="C15" s="26"/>
    </row>
    <row r="16" spans="1:6" x14ac:dyDescent="0.25">
      <c r="A16" s="3" t="s">
        <v>196</v>
      </c>
      <c r="B16" s="26">
        <v>1200000</v>
      </c>
      <c r="C16" s="26"/>
    </row>
    <row r="17" spans="1:6" x14ac:dyDescent="0.25">
      <c r="A17" s="11" t="s">
        <v>10</v>
      </c>
      <c r="B17" s="26">
        <v>1200000</v>
      </c>
      <c r="C17" s="26"/>
    </row>
    <row r="18" spans="1:6" x14ac:dyDescent="0.25">
      <c r="A18" s="3" t="s">
        <v>221</v>
      </c>
      <c r="B18" s="26">
        <v>2336322</v>
      </c>
      <c r="C18" s="26"/>
    </row>
    <row r="19" spans="1:6" x14ac:dyDescent="0.25">
      <c r="A19" s="11" t="s">
        <v>10</v>
      </c>
      <c r="B19" s="26">
        <v>2336322</v>
      </c>
      <c r="C19" s="26"/>
    </row>
    <row r="20" spans="1:6" x14ac:dyDescent="0.25">
      <c r="A20" s="3" t="s">
        <v>473</v>
      </c>
      <c r="B20" s="26">
        <v>250000</v>
      </c>
      <c r="C20" s="26">
        <v>180000</v>
      </c>
    </row>
    <row r="21" spans="1:6" x14ac:dyDescent="0.25">
      <c r="A21" s="11" t="s">
        <v>303</v>
      </c>
      <c r="B21" s="26">
        <v>250000</v>
      </c>
      <c r="C21" s="26">
        <v>180000</v>
      </c>
    </row>
    <row r="22" spans="1:6" x14ac:dyDescent="0.25">
      <c r="A22" s="3" t="s">
        <v>279</v>
      </c>
      <c r="B22" s="26">
        <v>4390000</v>
      </c>
      <c r="C22" s="26">
        <v>3677000</v>
      </c>
    </row>
    <row r="23" spans="1:6" x14ac:dyDescent="0.25">
      <c r="A23" s="11" t="s">
        <v>13</v>
      </c>
      <c r="B23" s="26">
        <v>4390000</v>
      </c>
      <c r="C23" s="26">
        <v>3677000</v>
      </c>
    </row>
    <row r="24" spans="1:6" x14ac:dyDescent="0.25">
      <c r="A24" s="3" t="s">
        <v>365</v>
      </c>
      <c r="B24" s="26">
        <v>654000</v>
      </c>
      <c r="C24" s="26"/>
    </row>
    <row r="25" spans="1:6" x14ac:dyDescent="0.25">
      <c r="A25" s="11" t="s">
        <v>13</v>
      </c>
      <c r="B25" s="26">
        <v>654000</v>
      </c>
      <c r="C25" s="26"/>
      <c r="E25" s="10" t="s">
        <v>47</v>
      </c>
      <c r="F25" t="s">
        <v>36</v>
      </c>
    </row>
    <row r="26" spans="1:6" x14ac:dyDescent="0.25">
      <c r="A26" s="3" t="s">
        <v>364</v>
      </c>
      <c r="B26" s="26">
        <v>642257</v>
      </c>
      <c r="C26" s="26"/>
    </row>
    <row r="27" spans="1:6" x14ac:dyDescent="0.25">
      <c r="A27" s="11" t="s">
        <v>10</v>
      </c>
      <c r="B27" s="26">
        <v>642257</v>
      </c>
      <c r="C27" s="26"/>
      <c r="E27" t="s">
        <v>331</v>
      </c>
    </row>
    <row r="28" spans="1:6" x14ac:dyDescent="0.25">
      <c r="A28" s="3" t="s">
        <v>409</v>
      </c>
      <c r="B28" s="26">
        <v>1830000</v>
      </c>
      <c r="C28" s="26">
        <v>2802834</v>
      </c>
      <c r="E28" s="26">
        <v>31885597</v>
      </c>
    </row>
    <row r="29" spans="1:6" x14ac:dyDescent="0.25">
      <c r="A29" s="11" t="s">
        <v>10</v>
      </c>
      <c r="B29" s="26">
        <v>1830000</v>
      </c>
      <c r="C29" s="26">
        <v>2802834</v>
      </c>
    </row>
    <row r="30" spans="1:6" x14ac:dyDescent="0.25">
      <c r="A30" s="3" t="s">
        <v>412</v>
      </c>
      <c r="B30" s="26">
        <v>7500000</v>
      </c>
      <c r="C30" s="26"/>
    </row>
    <row r="31" spans="1:6" x14ac:dyDescent="0.25">
      <c r="A31" s="11" t="s">
        <v>10</v>
      </c>
      <c r="B31" s="26">
        <v>7500000</v>
      </c>
      <c r="C31" s="26"/>
    </row>
    <row r="32" spans="1:6" x14ac:dyDescent="0.25">
      <c r="A32" s="3" t="s">
        <v>432</v>
      </c>
      <c r="B32" s="26">
        <v>850000</v>
      </c>
      <c r="C32" s="26">
        <v>670000</v>
      </c>
    </row>
    <row r="33" spans="1:3" x14ac:dyDescent="0.25">
      <c r="A33" s="11" t="s">
        <v>13</v>
      </c>
      <c r="B33" s="26">
        <v>850000</v>
      </c>
      <c r="C33" s="26">
        <v>670000</v>
      </c>
    </row>
    <row r="34" spans="1:3" x14ac:dyDescent="0.25">
      <c r="A34" s="3" t="s">
        <v>433</v>
      </c>
      <c r="B34" s="26">
        <v>758000</v>
      </c>
      <c r="C34" s="26">
        <v>758000</v>
      </c>
    </row>
    <row r="35" spans="1:3" x14ac:dyDescent="0.25">
      <c r="A35" s="11" t="s">
        <v>303</v>
      </c>
      <c r="B35" s="26">
        <v>758000</v>
      </c>
      <c r="C35" s="26">
        <v>758000</v>
      </c>
    </row>
    <row r="36" spans="1:3" x14ac:dyDescent="0.25">
      <c r="A36" s="3" t="s">
        <v>560</v>
      </c>
      <c r="B36" s="26">
        <v>1805000</v>
      </c>
      <c r="C36" s="26">
        <v>1652812.13</v>
      </c>
    </row>
    <row r="37" spans="1:3" x14ac:dyDescent="0.25">
      <c r="A37" s="11" t="s">
        <v>13</v>
      </c>
      <c r="B37" s="26">
        <v>1100000</v>
      </c>
      <c r="C37" s="26">
        <v>958272.13</v>
      </c>
    </row>
    <row r="38" spans="1:3" x14ac:dyDescent="0.25">
      <c r="A38" s="11" t="s">
        <v>303</v>
      </c>
      <c r="B38" s="26">
        <v>705000</v>
      </c>
      <c r="C38" s="26">
        <v>694540</v>
      </c>
    </row>
    <row r="39" spans="1:3" x14ac:dyDescent="0.25">
      <c r="A39" s="3" t="s">
        <v>478</v>
      </c>
      <c r="B39" s="26">
        <v>725918</v>
      </c>
      <c r="C39" s="26"/>
    </row>
    <row r="40" spans="1:3" x14ac:dyDescent="0.25">
      <c r="A40" s="11" t="s">
        <v>303</v>
      </c>
      <c r="B40" s="26">
        <v>725918</v>
      </c>
      <c r="C40" s="26"/>
    </row>
    <row r="41" spans="1:3" x14ac:dyDescent="0.25">
      <c r="A41" s="3" t="s">
        <v>505</v>
      </c>
      <c r="B41" s="26">
        <v>0</v>
      </c>
      <c r="C41" s="26">
        <v>148640</v>
      </c>
    </row>
    <row r="42" spans="1:3" x14ac:dyDescent="0.25">
      <c r="A42" s="11" t="s">
        <v>303</v>
      </c>
      <c r="B42" s="26">
        <v>0</v>
      </c>
      <c r="C42" s="26">
        <v>148640</v>
      </c>
    </row>
    <row r="43" spans="1:3" x14ac:dyDescent="0.25">
      <c r="A43" s="3" t="s">
        <v>536</v>
      </c>
      <c r="B43" s="26">
        <v>600000</v>
      </c>
      <c r="C43" s="26"/>
    </row>
    <row r="44" spans="1:3" x14ac:dyDescent="0.25">
      <c r="A44" s="11" t="s">
        <v>10</v>
      </c>
      <c r="B44" s="26">
        <v>600000</v>
      </c>
      <c r="C44" s="26"/>
    </row>
    <row r="45" spans="1:3" x14ac:dyDescent="0.25">
      <c r="A45" s="3" t="s">
        <v>577</v>
      </c>
      <c r="B45" s="26">
        <v>100000</v>
      </c>
      <c r="C45" s="26"/>
    </row>
    <row r="46" spans="1:3" x14ac:dyDescent="0.25">
      <c r="A46" s="11" t="s">
        <v>303</v>
      </c>
      <c r="B46" s="26">
        <v>100000</v>
      </c>
      <c r="C46" s="26"/>
    </row>
    <row r="47" spans="1:3" x14ac:dyDescent="0.25">
      <c r="A47" s="3" t="s">
        <v>581</v>
      </c>
      <c r="B47" s="26">
        <v>1530000</v>
      </c>
      <c r="C47" s="26">
        <v>1033567.75</v>
      </c>
    </row>
    <row r="48" spans="1:3" x14ac:dyDescent="0.25">
      <c r="A48" s="11" t="s">
        <v>13</v>
      </c>
      <c r="B48" s="26">
        <v>1530000</v>
      </c>
      <c r="C48" s="26">
        <v>1033567.75</v>
      </c>
    </row>
    <row r="49" spans="1:3" x14ac:dyDescent="0.25">
      <c r="A49" s="3" t="s">
        <v>582</v>
      </c>
      <c r="B49" s="26">
        <v>1815000</v>
      </c>
      <c r="C49" s="26">
        <v>1648991.6</v>
      </c>
    </row>
    <row r="50" spans="1:3" x14ac:dyDescent="0.25">
      <c r="A50" s="11" t="s">
        <v>13</v>
      </c>
      <c r="B50" s="26">
        <v>565000</v>
      </c>
      <c r="C50" s="26">
        <v>563875</v>
      </c>
    </row>
    <row r="51" spans="1:3" x14ac:dyDescent="0.25">
      <c r="A51" s="11" t="s">
        <v>303</v>
      </c>
      <c r="B51" s="26">
        <v>1250000</v>
      </c>
      <c r="C51" s="26">
        <v>1085116.6000000001</v>
      </c>
    </row>
    <row r="52" spans="1:3" x14ac:dyDescent="0.25">
      <c r="A52" s="3" t="s">
        <v>245</v>
      </c>
      <c r="B52" s="26">
        <v>31885597</v>
      </c>
      <c r="C52" s="26">
        <v>13789231.98</v>
      </c>
    </row>
  </sheetData>
  <pageMargins left="0.7" right="0.7" top="0.75" bottom="0.75" header="0.3" footer="0.3"/>
  <pageSetup paperSize="17" fitToHeight="0" orientation="landscape"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C23BF-0E75-42AE-AE5C-F2E3D4C77204}">
  <sheetPr>
    <pageSetUpPr fitToPage="1"/>
  </sheetPr>
  <dimension ref="A1:I60"/>
  <sheetViews>
    <sheetView topLeftCell="B1" workbookViewId="0">
      <selection activeCell="A9" sqref="A9"/>
    </sheetView>
  </sheetViews>
  <sheetFormatPr defaultRowHeight="15" x14ac:dyDescent="0.25"/>
  <cols>
    <col min="1" max="1" width="116" style="60" bestFit="1" customWidth="1"/>
    <col min="2" max="2" width="21.140625" bestFit="1" customWidth="1"/>
    <col min="3" max="3" width="20.7109375" bestFit="1" customWidth="1"/>
    <col min="4" max="4" width="21.140625" bestFit="1" customWidth="1"/>
    <col min="5" max="5" width="30.7109375" bestFit="1" customWidth="1"/>
    <col min="6" max="6" width="38.42578125" bestFit="1" customWidth="1"/>
    <col min="7" max="7" width="28" style="64" customWidth="1"/>
    <col min="8" max="8" width="17.85546875" bestFit="1" customWidth="1"/>
    <col min="9" max="9" width="38.85546875" style="66" customWidth="1"/>
  </cols>
  <sheetData>
    <row r="1" spans="1:9" ht="15.75" thickBot="1" x14ac:dyDescent="0.3">
      <c r="A1" s="10" t="s">
        <v>47</v>
      </c>
      <c r="B1" t="s">
        <v>338</v>
      </c>
      <c r="D1" s="68" t="s">
        <v>82</v>
      </c>
      <c r="E1" s="68" t="s">
        <v>388</v>
      </c>
      <c r="F1" s="68" t="s">
        <v>539</v>
      </c>
      <c r="G1" s="80"/>
      <c r="H1" s="65"/>
      <c r="I1" s="81"/>
    </row>
    <row r="2" spans="1:9" ht="15.75" thickTop="1" x14ac:dyDescent="0.25">
      <c r="A2" s="10" t="s">
        <v>89</v>
      </c>
      <c r="B2" t="s">
        <v>84</v>
      </c>
      <c r="D2" s="65" t="s">
        <v>401</v>
      </c>
      <c r="E2" s="65" t="s">
        <v>55</v>
      </c>
      <c r="F2" s="67">
        <v>2246062</v>
      </c>
      <c r="H2" s="82"/>
    </row>
    <row r="3" spans="1:9" x14ac:dyDescent="0.25">
      <c r="F3" s="55"/>
      <c r="H3" s="82"/>
    </row>
    <row r="4" spans="1:9" x14ac:dyDescent="0.25">
      <c r="A4" s="61" t="s">
        <v>434</v>
      </c>
      <c r="B4" t="s">
        <v>331</v>
      </c>
      <c r="C4" t="s">
        <v>246</v>
      </c>
      <c r="D4" t="s">
        <v>247</v>
      </c>
      <c r="E4" t="s">
        <v>248</v>
      </c>
      <c r="F4" t="s">
        <v>459</v>
      </c>
      <c r="H4" s="82"/>
    </row>
    <row r="5" spans="1:9" x14ac:dyDescent="0.25">
      <c r="A5" s="62" t="s">
        <v>234</v>
      </c>
      <c r="B5" s="63">
        <v>399800</v>
      </c>
      <c r="C5" s="63">
        <v>251815</v>
      </c>
      <c r="D5" s="63">
        <v>340045</v>
      </c>
      <c r="E5" s="63"/>
      <c r="F5" s="63"/>
      <c r="H5" s="82"/>
    </row>
    <row r="6" spans="1:9" ht="30" x14ac:dyDescent="0.25">
      <c r="A6" s="33" t="s">
        <v>236</v>
      </c>
      <c r="B6" s="26">
        <v>399800</v>
      </c>
      <c r="C6" s="26">
        <v>251815</v>
      </c>
      <c r="D6" s="26">
        <v>340045</v>
      </c>
      <c r="E6" s="26"/>
      <c r="F6" s="26"/>
      <c r="H6" s="82"/>
    </row>
    <row r="7" spans="1:9" x14ac:dyDescent="0.25">
      <c r="A7" s="33">
        <v>63042</v>
      </c>
      <c r="B7" s="26">
        <v>399800</v>
      </c>
      <c r="C7" s="26">
        <v>251815</v>
      </c>
      <c r="D7" s="26">
        <v>340045</v>
      </c>
      <c r="E7" s="26"/>
      <c r="F7" s="26"/>
      <c r="H7" s="82"/>
    </row>
    <row r="8" spans="1:9" x14ac:dyDescent="0.25">
      <c r="A8" s="62" t="s">
        <v>55</v>
      </c>
      <c r="B8" s="63">
        <v>3038389.46</v>
      </c>
      <c r="C8" s="63">
        <v>1741302.5</v>
      </c>
      <c r="D8" s="63">
        <v>1051164.46</v>
      </c>
      <c r="E8" s="63">
        <v>890901.93</v>
      </c>
      <c r="F8" s="63"/>
      <c r="H8" s="82"/>
    </row>
    <row r="9" spans="1:9" ht="45" x14ac:dyDescent="0.25">
      <c r="A9" s="33" t="s">
        <v>196</v>
      </c>
      <c r="B9" s="26">
        <v>1200000</v>
      </c>
      <c r="C9" s="26"/>
      <c r="D9" s="26"/>
      <c r="E9" s="26"/>
      <c r="F9" s="26"/>
      <c r="H9" s="82"/>
    </row>
    <row r="10" spans="1:9" x14ac:dyDescent="0.25">
      <c r="A10" s="33" t="s">
        <v>303</v>
      </c>
      <c r="B10" s="26">
        <v>1200000</v>
      </c>
      <c r="C10" s="26"/>
      <c r="D10" s="26"/>
      <c r="E10" s="26"/>
      <c r="F10" s="26"/>
      <c r="H10" s="82"/>
    </row>
    <row r="11" spans="1:9" ht="30" x14ac:dyDescent="0.25">
      <c r="A11" s="33" t="s">
        <v>195</v>
      </c>
      <c r="B11" s="26">
        <v>808389.46</v>
      </c>
      <c r="C11" s="26">
        <v>910652.5</v>
      </c>
      <c r="D11" s="26">
        <v>808389.46</v>
      </c>
      <c r="E11" s="26">
        <v>890901.93</v>
      </c>
      <c r="F11" s="26"/>
      <c r="H11" s="82"/>
    </row>
    <row r="12" spans="1:9" x14ac:dyDescent="0.25">
      <c r="A12" s="33">
        <v>63386</v>
      </c>
      <c r="B12" s="26">
        <v>808389.46</v>
      </c>
      <c r="C12" s="26">
        <v>910652.5</v>
      </c>
      <c r="D12" s="26">
        <v>808389.46</v>
      </c>
      <c r="E12" s="26">
        <v>890901.93</v>
      </c>
      <c r="F12" s="26"/>
      <c r="H12" s="82"/>
    </row>
    <row r="13" spans="1:9" ht="30" x14ac:dyDescent="0.25">
      <c r="A13" s="33" t="s">
        <v>409</v>
      </c>
      <c r="B13" s="26">
        <v>680000</v>
      </c>
      <c r="C13" s="26">
        <v>587875</v>
      </c>
      <c r="D13" s="26"/>
      <c r="E13" s="26"/>
      <c r="F13" s="26"/>
      <c r="H13" s="82"/>
    </row>
    <row r="14" spans="1:9" x14ac:dyDescent="0.25">
      <c r="A14" s="33" t="s">
        <v>303</v>
      </c>
      <c r="B14" s="26">
        <v>680000</v>
      </c>
      <c r="C14" s="26">
        <v>587875</v>
      </c>
      <c r="D14" s="26"/>
      <c r="E14" s="26"/>
      <c r="F14" s="26"/>
      <c r="H14" s="82"/>
    </row>
    <row r="15" spans="1:9" x14ac:dyDescent="0.25">
      <c r="A15" s="11" t="s">
        <v>437</v>
      </c>
      <c r="B15" s="26">
        <v>350000</v>
      </c>
      <c r="C15" s="26">
        <v>242775</v>
      </c>
      <c r="D15" s="26">
        <v>242775</v>
      </c>
      <c r="E15" s="26"/>
      <c r="F15" s="26"/>
      <c r="H15" s="82"/>
    </row>
    <row r="16" spans="1:9" x14ac:dyDescent="0.25">
      <c r="A16" s="25">
        <v>64739</v>
      </c>
      <c r="B16" s="26">
        <v>350000</v>
      </c>
      <c r="C16" s="26">
        <v>242775</v>
      </c>
      <c r="D16" s="26">
        <v>242775</v>
      </c>
      <c r="E16" s="26"/>
      <c r="F16" s="26"/>
      <c r="H16" s="82"/>
    </row>
    <row r="17" spans="1:8" x14ac:dyDescent="0.25">
      <c r="A17" s="88" t="s">
        <v>462</v>
      </c>
      <c r="B17" s="63">
        <v>690000</v>
      </c>
      <c r="C17" s="63">
        <v>690000</v>
      </c>
      <c r="D17" s="63"/>
      <c r="E17" s="63"/>
      <c r="F17" s="63"/>
      <c r="H17" s="82"/>
    </row>
    <row r="18" spans="1:8" x14ac:dyDescent="0.25">
      <c r="A18" s="11" t="s">
        <v>433</v>
      </c>
      <c r="B18" s="26">
        <v>690000</v>
      </c>
      <c r="C18" s="26">
        <v>690000</v>
      </c>
      <c r="D18" s="26"/>
      <c r="E18" s="26"/>
      <c r="F18" s="26"/>
      <c r="H18" s="82"/>
    </row>
    <row r="19" spans="1:8" x14ac:dyDescent="0.25">
      <c r="A19" s="25" t="s">
        <v>303</v>
      </c>
      <c r="B19" s="26">
        <v>690000</v>
      </c>
      <c r="C19" s="26">
        <v>690000</v>
      </c>
      <c r="D19" s="26"/>
      <c r="E19" s="26"/>
      <c r="F19" s="26"/>
      <c r="H19" s="82"/>
    </row>
    <row r="20" spans="1:8" x14ac:dyDescent="0.25">
      <c r="A20" s="3" t="s">
        <v>494</v>
      </c>
      <c r="B20" s="26">
        <v>229999.99999999997</v>
      </c>
      <c r="C20" s="26">
        <v>200000</v>
      </c>
      <c r="D20" s="26"/>
      <c r="E20" s="26"/>
      <c r="F20" s="26"/>
      <c r="H20" s="82"/>
    </row>
    <row r="21" spans="1:8" x14ac:dyDescent="0.25">
      <c r="A21" s="11" t="s">
        <v>279</v>
      </c>
      <c r="B21" s="26">
        <v>229999.99999999997</v>
      </c>
      <c r="C21" s="26">
        <v>200000</v>
      </c>
      <c r="D21" s="26"/>
      <c r="E21" s="26"/>
      <c r="F21" s="26"/>
      <c r="H21" s="82"/>
    </row>
    <row r="22" spans="1:8" x14ac:dyDescent="0.25">
      <c r="A22" s="25" t="s">
        <v>303</v>
      </c>
      <c r="B22" s="26">
        <v>229999.99999999997</v>
      </c>
      <c r="C22" s="26">
        <v>200000</v>
      </c>
      <c r="D22" s="26"/>
      <c r="E22" s="26"/>
      <c r="F22" s="26"/>
      <c r="H22" s="82"/>
    </row>
    <row r="23" spans="1:8" x14ac:dyDescent="0.25">
      <c r="A23" s="3" t="s">
        <v>502</v>
      </c>
      <c r="B23" s="26">
        <v>380000</v>
      </c>
      <c r="C23" s="26">
        <v>330216</v>
      </c>
      <c r="D23" s="26">
        <v>314426</v>
      </c>
      <c r="E23" s="26"/>
      <c r="F23" s="26"/>
      <c r="H23" s="82"/>
    </row>
    <row r="24" spans="1:8" x14ac:dyDescent="0.25">
      <c r="A24" s="11" t="s">
        <v>465</v>
      </c>
      <c r="B24" s="26">
        <v>380000</v>
      </c>
      <c r="C24" s="26">
        <v>330216</v>
      </c>
      <c r="D24" s="26">
        <v>314426</v>
      </c>
      <c r="E24" s="26"/>
      <c r="F24" s="26"/>
      <c r="H24" s="82"/>
    </row>
    <row r="25" spans="1:8" x14ac:dyDescent="0.25">
      <c r="A25" s="25">
        <v>64734</v>
      </c>
      <c r="B25" s="26">
        <v>380000</v>
      </c>
      <c r="C25" s="26">
        <v>330216</v>
      </c>
      <c r="D25" s="26">
        <v>314426</v>
      </c>
      <c r="E25" s="26"/>
      <c r="F25" s="26"/>
      <c r="H25" s="82"/>
    </row>
    <row r="26" spans="1:8" x14ac:dyDescent="0.25">
      <c r="A26" s="3" t="s">
        <v>503</v>
      </c>
      <c r="B26" s="26">
        <v>28000</v>
      </c>
      <c r="C26" s="26">
        <v>39220</v>
      </c>
      <c r="D26" s="26">
        <v>27430</v>
      </c>
      <c r="E26" s="26"/>
      <c r="F26" s="26"/>
      <c r="H26" s="82"/>
    </row>
    <row r="27" spans="1:8" x14ac:dyDescent="0.25">
      <c r="A27" s="11" t="s">
        <v>154</v>
      </c>
      <c r="B27" s="26">
        <v>28000</v>
      </c>
      <c r="C27" s="26">
        <v>39220</v>
      </c>
      <c r="D27" s="26">
        <v>27430</v>
      </c>
      <c r="E27" s="26"/>
      <c r="F27" s="26"/>
      <c r="H27" s="82"/>
    </row>
    <row r="28" spans="1:8" x14ac:dyDescent="0.25">
      <c r="A28" s="25">
        <v>63041</v>
      </c>
      <c r="B28" s="26">
        <v>28000</v>
      </c>
      <c r="C28" s="26">
        <v>39220</v>
      </c>
      <c r="D28" s="26">
        <v>27430</v>
      </c>
      <c r="E28" s="26"/>
      <c r="F28" s="26"/>
      <c r="H28" s="82"/>
    </row>
    <row r="29" spans="1:8" x14ac:dyDescent="0.25">
      <c r="A29" s="3" t="s">
        <v>586</v>
      </c>
      <c r="B29" s="26">
        <v>340000</v>
      </c>
      <c r="C29" s="26">
        <v>333490</v>
      </c>
      <c r="D29" s="26"/>
      <c r="E29" s="26"/>
      <c r="F29" s="26"/>
      <c r="H29" s="82"/>
    </row>
    <row r="30" spans="1:8" x14ac:dyDescent="0.25">
      <c r="A30" s="11" t="s">
        <v>560</v>
      </c>
      <c r="B30" s="26">
        <v>340000</v>
      </c>
      <c r="C30" s="26">
        <v>333490</v>
      </c>
      <c r="D30" s="26"/>
      <c r="E30" s="26"/>
      <c r="F30" s="26"/>
      <c r="H30" s="82"/>
    </row>
    <row r="31" spans="1:8" x14ac:dyDescent="0.25">
      <c r="A31" s="25" t="s">
        <v>303</v>
      </c>
      <c r="B31" s="26">
        <v>340000</v>
      </c>
      <c r="C31" s="26">
        <v>333490</v>
      </c>
      <c r="D31" s="26"/>
      <c r="E31" s="26"/>
      <c r="F31" s="26"/>
      <c r="H31" s="82"/>
    </row>
    <row r="32" spans="1:8" x14ac:dyDescent="0.25">
      <c r="A32" s="3" t="s">
        <v>588</v>
      </c>
      <c r="B32" s="26">
        <v>512000</v>
      </c>
      <c r="C32" s="26">
        <v>511375</v>
      </c>
      <c r="D32" s="26"/>
      <c r="E32" s="26"/>
      <c r="F32" s="26"/>
      <c r="H32" s="82"/>
    </row>
    <row r="33" spans="1:9" x14ac:dyDescent="0.25">
      <c r="A33" s="11" t="s">
        <v>582</v>
      </c>
      <c r="B33" s="26">
        <v>512000</v>
      </c>
      <c r="C33" s="26">
        <v>511375</v>
      </c>
      <c r="D33" s="26"/>
      <c r="E33" s="26"/>
      <c r="F33" s="26"/>
      <c r="H33" s="82"/>
    </row>
    <row r="34" spans="1:9" x14ac:dyDescent="0.25">
      <c r="A34" s="25" t="s">
        <v>303</v>
      </c>
      <c r="B34" s="26">
        <v>512000</v>
      </c>
      <c r="C34" s="26">
        <v>511375</v>
      </c>
      <c r="D34" s="26"/>
      <c r="E34" s="26"/>
      <c r="F34" s="26"/>
      <c r="H34" s="82"/>
    </row>
    <row r="35" spans="1:9" x14ac:dyDescent="0.25">
      <c r="A35" s="33" t="s">
        <v>245</v>
      </c>
      <c r="B35" s="26">
        <v>5618189.46</v>
      </c>
      <c r="C35" s="26">
        <v>4097418.5</v>
      </c>
      <c r="D35" s="26">
        <v>1733065.46</v>
      </c>
      <c r="E35" s="26">
        <v>890901.93</v>
      </c>
      <c r="F35" s="26"/>
      <c r="H35" s="82"/>
    </row>
    <row r="36" spans="1:9" x14ac:dyDescent="0.25">
      <c r="A36"/>
      <c r="H36" s="82"/>
    </row>
    <row r="37" spans="1:9" x14ac:dyDescent="0.25">
      <c r="A37"/>
      <c r="H37" s="82"/>
    </row>
    <row r="38" spans="1:9" x14ac:dyDescent="0.25">
      <c r="A38"/>
      <c r="H38" s="82"/>
    </row>
    <row r="39" spans="1:9" x14ac:dyDescent="0.25">
      <c r="A39"/>
      <c r="H39" s="82"/>
    </row>
    <row r="40" spans="1:9" x14ac:dyDescent="0.25">
      <c r="A40"/>
      <c r="H40" s="82"/>
    </row>
    <row r="41" spans="1:9" x14ac:dyDescent="0.25">
      <c r="A41"/>
      <c r="H41" s="83"/>
    </row>
    <row r="42" spans="1:9" ht="15.75" thickBot="1" x14ac:dyDescent="0.3">
      <c r="A42"/>
      <c r="G42" s="84"/>
      <c r="H42" s="85"/>
      <c r="I42" s="84"/>
    </row>
    <row r="43" spans="1:9" ht="15.75" thickTop="1" x14ac:dyDescent="0.25">
      <c r="A43"/>
    </row>
    <row r="44" spans="1:9" x14ac:dyDescent="0.25">
      <c r="A44"/>
    </row>
    <row r="45" spans="1:9" x14ac:dyDescent="0.25">
      <c r="A45"/>
    </row>
    <row r="46" spans="1:9" x14ac:dyDescent="0.25">
      <c r="A46"/>
    </row>
    <row r="47" spans="1:9" x14ac:dyDescent="0.25">
      <c r="A47"/>
    </row>
    <row r="48" spans="1:9"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sheetData>
  <pageMargins left="0.7" right="0.7" top="0.75" bottom="0.75" header="0.3" footer="0.3"/>
  <pageSetup paperSize="17" scale="80" fitToHeight="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8B11A-AB55-4167-9597-6B4820432D9A}">
  <dimension ref="A1:H59"/>
  <sheetViews>
    <sheetView zoomScale="115" zoomScaleNormal="115" workbookViewId="0">
      <selection activeCell="G60" sqref="G60"/>
    </sheetView>
  </sheetViews>
  <sheetFormatPr defaultRowHeight="15" x14ac:dyDescent="0.25"/>
  <cols>
    <col min="1" max="1" width="116" bestFit="1" customWidth="1"/>
    <col min="2" max="2" width="21.140625" bestFit="1" customWidth="1"/>
    <col min="3" max="3" width="20.7109375" bestFit="1" customWidth="1"/>
    <col min="4" max="4" width="18.28515625" bestFit="1" customWidth="1"/>
    <col min="5" max="5" width="30.7109375" bestFit="1" customWidth="1"/>
    <col min="6" max="6" width="38.42578125" bestFit="1" customWidth="1"/>
    <col min="7" max="7" width="26.42578125" customWidth="1"/>
    <col min="8" max="8" width="19.28515625" bestFit="1" customWidth="1"/>
    <col min="9" max="9" width="17.85546875" bestFit="1" customWidth="1"/>
    <col min="10" max="10" width="12.140625" bestFit="1" customWidth="1"/>
  </cols>
  <sheetData>
    <row r="1" spans="1:8" x14ac:dyDescent="0.25">
      <c r="A1" s="10" t="s">
        <v>47</v>
      </c>
      <c r="B1" t="s">
        <v>338</v>
      </c>
      <c r="E1" t="s">
        <v>82</v>
      </c>
      <c r="F1" t="s">
        <v>388</v>
      </c>
      <c r="G1" s="70" t="s">
        <v>499</v>
      </c>
      <c r="H1" t="s">
        <v>35</v>
      </c>
    </row>
    <row r="2" spans="1:8" x14ac:dyDescent="0.25">
      <c r="A2" s="10" t="s">
        <v>89</v>
      </c>
      <c r="B2" t="s">
        <v>338</v>
      </c>
      <c r="E2" t="s">
        <v>390</v>
      </c>
      <c r="F2" t="s">
        <v>67</v>
      </c>
      <c r="G2" s="55">
        <v>616514</v>
      </c>
      <c r="H2" t="s">
        <v>389</v>
      </c>
    </row>
    <row r="3" spans="1:8" x14ac:dyDescent="0.25">
      <c r="G3" s="55"/>
    </row>
    <row r="4" spans="1:8" x14ac:dyDescent="0.25">
      <c r="A4" s="10" t="s">
        <v>330</v>
      </c>
      <c r="B4" t="s">
        <v>331</v>
      </c>
      <c r="C4" t="s">
        <v>246</v>
      </c>
      <c r="D4" t="s">
        <v>247</v>
      </c>
      <c r="E4" t="s">
        <v>248</v>
      </c>
      <c r="F4" t="s">
        <v>459</v>
      </c>
      <c r="G4" s="55"/>
    </row>
    <row r="5" spans="1:8" x14ac:dyDescent="0.25">
      <c r="A5" s="3" t="s">
        <v>235</v>
      </c>
      <c r="B5" s="26">
        <v>200000</v>
      </c>
      <c r="C5" s="26">
        <v>231475</v>
      </c>
      <c r="D5" s="26">
        <v>381800</v>
      </c>
      <c r="E5" s="26"/>
      <c r="F5" s="26">
        <v>12000</v>
      </c>
      <c r="G5" s="55"/>
    </row>
    <row r="6" spans="1:8" x14ac:dyDescent="0.25">
      <c r="A6" s="11" t="s">
        <v>236</v>
      </c>
      <c r="B6" s="26">
        <v>200000</v>
      </c>
      <c r="C6" s="26">
        <v>231475</v>
      </c>
      <c r="D6" s="26">
        <v>381800</v>
      </c>
      <c r="E6" s="26"/>
      <c r="F6" s="26">
        <v>12000</v>
      </c>
      <c r="G6" s="55"/>
    </row>
    <row r="7" spans="1:8" x14ac:dyDescent="0.25">
      <c r="A7" s="25">
        <v>63042</v>
      </c>
      <c r="B7" s="26">
        <v>200000</v>
      </c>
      <c r="C7" s="26">
        <v>231475</v>
      </c>
      <c r="D7" s="26">
        <v>381800</v>
      </c>
      <c r="E7" s="26"/>
      <c r="F7" s="26">
        <v>12000</v>
      </c>
      <c r="G7" s="55"/>
    </row>
    <row r="8" spans="1:8" x14ac:dyDescent="0.25">
      <c r="A8" s="3" t="s">
        <v>67</v>
      </c>
      <c r="B8" s="26">
        <v>20500</v>
      </c>
      <c r="C8" s="26">
        <v>169140</v>
      </c>
      <c r="D8" s="26">
        <v>20500</v>
      </c>
      <c r="E8" s="26"/>
      <c r="F8" s="26"/>
      <c r="G8" s="55"/>
    </row>
    <row r="9" spans="1:8" x14ac:dyDescent="0.25">
      <c r="A9" s="11" t="s">
        <v>345</v>
      </c>
      <c r="B9" s="26">
        <v>20500</v>
      </c>
      <c r="C9" s="26">
        <v>20500</v>
      </c>
      <c r="D9" s="26">
        <v>20500</v>
      </c>
      <c r="E9" s="26"/>
      <c r="F9" s="26"/>
      <c r="G9" s="55"/>
    </row>
    <row r="10" spans="1:8" x14ac:dyDescent="0.25">
      <c r="A10" s="25">
        <v>64389</v>
      </c>
      <c r="B10" s="26">
        <v>20500</v>
      </c>
      <c r="C10" s="26">
        <v>20500</v>
      </c>
      <c r="D10" s="26">
        <v>20500</v>
      </c>
      <c r="E10" s="26"/>
      <c r="F10" s="26"/>
      <c r="G10" s="55"/>
    </row>
    <row r="11" spans="1:8" x14ac:dyDescent="0.25">
      <c r="A11" s="11" t="s">
        <v>412</v>
      </c>
      <c r="B11" s="26"/>
      <c r="C11" s="26"/>
      <c r="D11" s="26"/>
      <c r="E11" s="26"/>
      <c r="F11" s="26"/>
      <c r="G11" s="55"/>
    </row>
    <row r="12" spans="1:8" x14ac:dyDescent="0.25">
      <c r="A12" s="25" t="s">
        <v>303</v>
      </c>
      <c r="B12" s="26"/>
      <c r="C12" s="26"/>
      <c r="D12" s="26"/>
      <c r="E12" s="26"/>
      <c r="F12" s="26"/>
      <c r="G12" s="55"/>
    </row>
    <row r="13" spans="1:8" x14ac:dyDescent="0.25">
      <c r="A13" s="11" t="s">
        <v>505</v>
      </c>
      <c r="B13" s="26">
        <v>0</v>
      </c>
      <c r="C13" s="26">
        <v>148640</v>
      </c>
      <c r="D13" s="26"/>
      <c r="E13" s="26"/>
      <c r="F13" s="26"/>
      <c r="G13" s="55"/>
    </row>
    <row r="14" spans="1:8" x14ac:dyDescent="0.25">
      <c r="A14" s="25" t="s">
        <v>303</v>
      </c>
      <c r="B14" s="26">
        <v>0</v>
      </c>
      <c r="C14" s="26">
        <v>148640</v>
      </c>
      <c r="D14" s="26"/>
      <c r="E14" s="26"/>
      <c r="F14" s="26"/>
      <c r="G14" s="55"/>
    </row>
    <row r="15" spans="1:8" x14ac:dyDescent="0.25">
      <c r="A15" s="3" t="s">
        <v>227</v>
      </c>
      <c r="B15" s="26">
        <v>2100000</v>
      </c>
      <c r="C15" s="26"/>
      <c r="D15" s="26"/>
      <c r="E15" s="26"/>
      <c r="F15" s="26"/>
      <c r="G15" s="55"/>
    </row>
    <row r="16" spans="1:8" x14ac:dyDescent="0.25">
      <c r="A16" s="11" t="s">
        <v>222</v>
      </c>
      <c r="B16" s="26">
        <v>2100000</v>
      </c>
      <c r="C16" s="26"/>
      <c r="D16" s="26"/>
      <c r="E16" s="26"/>
      <c r="F16" s="26"/>
      <c r="G16" s="55"/>
    </row>
    <row r="17" spans="1:7" x14ac:dyDescent="0.25">
      <c r="A17" s="25" t="s">
        <v>303</v>
      </c>
      <c r="B17" s="26">
        <v>2100000</v>
      </c>
      <c r="C17" s="26"/>
      <c r="D17" s="26"/>
      <c r="E17" s="26"/>
      <c r="F17" s="26"/>
      <c r="G17" s="55"/>
    </row>
    <row r="18" spans="1:7" x14ac:dyDescent="0.25">
      <c r="A18" s="3" t="s">
        <v>132</v>
      </c>
      <c r="B18" s="26">
        <v>725918</v>
      </c>
      <c r="C18" s="26"/>
      <c r="D18" s="26"/>
      <c r="E18" s="26"/>
      <c r="F18" s="26"/>
      <c r="G18" s="55"/>
    </row>
    <row r="19" spans="1:7" x14ac:dyDescent="0.25">
      <c r="A19" s="11" t="s">
        <v>478</v>
      </c>
      <c r="B19" s="26">
        <v>725918</v>
      </c>
      <c r="C19" s="26"/>
      <c r="D19" s="26"/>
      <c r="E19" s="26"/>
      <c r="F19" s="26"/>
      <c r="G19" s="55"/>
    </row>
    <row r="20" spans="1:7" x14ac:dyDescent="0.25">
      <c r="A20" s="25" t="s">
        <v>303</v>
      </c>
      <c r="B20" s="26">
        <v>725918</v>
      </c>
      <c r="C20" s="26"/>
      <c r="D20" s="26"/>
      <c r="E20" s="26"/>
      <c r="F20" s="26"/>
      <c r="G20" s="55"/>
    </row>
    <row r="21" spans="1:7" x14ac:dyDescent="0.25">
      <c r="A21" s="3" t="s">
        <v>226</v>
      </c>
      <c r="B21" s="26">
        <v>2336322</v>
      </c>
      <c r="C21" s="26"/>
      <c r="D21" s="26"/>
      <c r="E21" s="26"/>
      <c r="F21" s="26"/>
      <c r="G21" s="55"/>
    </row>
    <row r="22" spans="1:7" x14ac:dyDescent="0.25">
      <c r="A22" s="11" t="s">
        <v>221</v>
      </c>
      <c r="B22" s="26">
        <v>2336322</v>
      </c>
      <c r="C22" s="26"/>
      <c r="D22" s="26"/>
      <c r="E22" s="26"/>
      <c r="F22" s="26"/>
      <c r="G22" s="55"/>
    </row>
    <row r="23" spans="1:7" x14ac:dyDescent="0.25">
      <c r="A23" s="25" t="s">
        <v>303</v>
      </c>
      <c r="B23" s="26">
        <v>2336322</v>
      </c>
      <c r="C23" s="26"/>
      <c r="D23" s="26"/>
      <c r="E23" s="26"/>
      <c r="F23" s="26"/>
      <c r="G23" s="55"/>
    </row>
    <row r="24" spans="1:7" x14ac:dyDescent="0.25">
      <c r="A24" s="3" t="s">
        <v>225</v>
      </c>
      <c r="B24" s="26">
        <v>7500000</v>
      </c>
      <c r="C24" s="26"/>
      <c r="D24" s="26"/>
      <c r="E24" s="26"/>
      <c r="F24" s="26"/>
      <c r="G24" s="55"/>
    </row>
    <row r="25" spans="1:7" x14ac:dyDescent="0.25">
      <c r="A25" s="11" t="s">
        <v>412</v>
      </c>
      <c r="B25" s="26">
        <v>7500000</v>
      </c>
      <c r="C25" s="26"/>
      <c r="D25" s="26"/>
      <c r="E25" s="26"/>
      <c r="F25" s="26"/>
      <c r="G25" s="55"/>
    </row>
    <row r="26" spans="1:7" x14ac:dyDescent="0.25">
      <c r="A26" s="25" t="s">
        <v>303</v>
      </c>
      <c r="B26" s="26">
        <v>7500000</v>
      </c>
      <c r="C26" s="26"/>
      <c r="D26" s="26"/>
      <c r="E26" s="26"/>
      <c r="F26" s="26"/>
      <c r="G26" s="55"/>
    </row>
    <row r="27" spans="1:7" x14ac:dyDescent="0.25">
      <c r="A27" s="3" t="s">
        <v>463</v>
      </c>
      <c r="B27" s="26">
        <v>68000</v>
      </c>
      <c r="C27" s="26">
        <v>68000</v>
      </c>
      <c r="D27" s="26"/>
      <c r="E27" s="26"/>
      <c r="F27" s="26"/>
      <c r="G27" s="55"/>
    </row>
    <row r="28" spans="1:7" x14ac:dyDescent="0.25">
      <c r="A28" s="11" t="s">
        <v>433</v>
      </c>
      <c r="B28" s="26">
        <v>68000</v>
      </c>
      <c r="C28" s="26">
        <v>68000</v>
      </c>
      <c r="D28" s="26"/>
      <c r="E28" s="26"/>
      <c r="F28" s="26"/>
      <c r="G28" s="55"/>
    </row>
    <row r="29" spans="1:7" x14ac:dyDescent="0.25">
      <c r="A29" s="25" t="s">
        <v>303</v>
      </c>
      <c r="B29" s="26">
        <v>68000</v>
      </c>
      <c r="C29" s="26">
        <v>68000</v>
      </c>
      <c r="D29" s="26"/>
      <c r="E29" s="26"/>
      <c r="F29" s="26"/>
      <c r="G29" s="55"/>
    </row>
    <row r="30" spans="1:7" x14ac:dyDescent="0.25">
      <c r="A30" s="3" t="s">
        <v>496</v>
      </c>
      <c r="B30" s="26">
        <v>80000</v>
      </c>
      <c r="C30" s="26">
        <v>69900</v>
      </c>
      <c r="D30" s="26"/>
      <c r="E30" s="26"/>
      <c r="F30" s="26"/>
      <c r="G30" s="55"/>
    </row>
    <row r="31" spans="1:7" x14ac:dyDescent="0.25">
      <c r="A31" s="11" t="s">
        <v>581</v>
      </c>
      <c r="B31" s="26">
        <v>80000</v>
      </c>
      <c r="C31" s="26">
        <v>69900</v>
      </c>
      <c r="D31" s="26"/>
      <c r="E31" s="26"/>
      <c r="F31" s="26"/>
      <c r="G31" s="55"/>
    </row>
    <row r="32" spans="1:7" x14ac:dyDescent="0.25">
      <c r="A32" s="25" t="s">
        <v>303</v>
      </c>
      <c r="B32" s="26">
        <v>80000</v>
      </c>
      <c r="C32" s="26">
        <v>69900</v>
      </c>
      <c r="D32" s="26"/>
      <c r="E32" s="26"/>
      <c r="F32" s="26"/>
      <c r="G32" s="55"/>
    </row>
    <row r="33" spans="1:7" x14ac:dyDescent="0.25">
      <c r="A33" s="3" t="s">
        <v>500</v>
      </c>
      <c r="B33" s="26">
        <v>100000</v>
      </c>
      <c r="C33" s="26">
        <v>80000</v>
      </c>
      <c r="D33" s="26"/>
      <c r="E33" s="26"/>
      <c r="F33" s="26"/>
      <c r="G33" s="55"/>
    </row>
    <row r="34" spans="1:7" x14ac:dyDescent="0.25">
      <c r="A34" s="11" t="s">
        <v>279</v>
      </c>
      <c r="B34" s="26">
        <v>100000</v>
      </c>
      <c r="C34" s="26">
        <v>80000</v>
      </c>
      <c r="D34" s="26"/>
      <c r="E34" s="26"/>
      <c r="F34" s="26"/>
      <c r="G34" s="55"/>
    </row>
    <row r="35" spans="1:7" x14ac:dyDescent="0.25">
      <c r="A35" s="25" t="s">
        <v>303</v>
      </c>
      <c r="B35" s="26">
        <v>100000</v>
      </c>
      <c r="C35" s="26">
        <v>80000</v>
      </c>
      <c r="D35" s="26"/>
      <c r="E35" s="26"/>
      <c r="F35" s="26"/>
      <c r="G35" s="55"/>
    </row>
    <row r="36" spans="1:7" x14ac:dyDescent="0.25">
      <c r="A36" s="3" t="s">
        <v>501</v>
      </c>
      <c r="B36" s="26">
        <v>400000</v>
      </c>
      <c r="C36" s="26">
        <v>350000</v>
      </c>
      <c r="D36" s="26">
        <v>322189.3</v>
      </c>
      <c r="E36" s="26"/>
      <c r="F36" s="26"/>
      <c r="G36" s="55"/>
    </row>
    <row r="37" spans="1:7" x14ac:dyDescent="0.25">
      <c r="A37" s="11" t="s">
        <v>460</v>
      </c>
      <c r="B37" s="26">
        <v>400000</v>
      </c>
      <c r="C37" s="26">
        <v>350000</v>
      </c>
      <c r="D37" s="26">
        <v>322189.3</v>
      </c>
      <c r="E37" s="26"/>
      <c r="F37" s="26"/>
      <c r="G37" s="55"/>
    </row>
    <row r="38" spans="1:7" x14ac:dyDescent="0.25">
      <c r="A38" s="25" t="s">
        <v>303</v>
      </c>
      <c r="B38" s="26">
        <v>400000</v>
      </c>
      <c r="C38" s="26">
        <v>350000</v>
      </c>
      <c r="D38" s="26">
        <v>322189.3</v>
      </c>
      <c r="E38" s="26"/>
      <c r="F38" s="26"/>
      <c r="G38" s="55"/>
    </row>
    <row r="39" spans="1:7" x14ac:dyDescent="0.25">
      <c r="A39" s="3" t="s">
        <v>504</v>
      </c>
      <c r="B39" s="26">
        <v>35000</v>
      </c>
      <c r="C39" s="26">
        <v>35500</v>
      </c>
      <c r="D39" s="26">
        <v>35000</v>
      </c>
      <c r="E39" s="26"/>
      <c r="F39" s="26"/>
      <c r="G39" s="55"/>
    </row>
    <row r="40" spans="1:7" x14ac:dyDescent="0.25">
      <c r="A40" s="11" t="s">
        <v>154</v>
      </c>
      <c r="B40" s="26">
        <v>35000</v>
      </c>
      <c r="C40" s="26">
        <v>35500</v>
      </c>
      <c r="D40" s="26">
        <v>35000</v>
      </c>
      <c r="E40" s="26"/>
      <c r="F40" s="26"/>
      <c r="G40" s="55"/>
    </row>
    <row r="41" spans="1:7" x14ac:dyDescent="0.25">
      <c r="A41" s="25">
        <v>63041</v>
      </c>
      <c r="B41" s="26">
        <v>35000</v>
      </c>
      <c r="C41" s="26">
        <v>35500</v>
      </c>
      <c r="D41" s="26">
        <v>35000</v>
      </c>
      <c r="E41" s="26"/>
      <c r="F41" s="26"/>
      <c r="G41" s="55"/>
    </row>
    <row r="42" spans="1:7" x14ac:dyDescent="0.25">
      <c r="A42" s="3" t="s">
        <v>585</v>
      </c>
      <c r="B42" s="26">
        <v>95000</v>
      </c>
      <c r="C42" s="26">
        <v>93000</v>
      </c>
      <c r="D42" s="26"/>
      <c r="E42" s="26"/>
      <c r="F42" s="26"/>
      <c r="G42" s="55"/>
    </row>
    <row r="43" spans="1:7" x14ac:dyDescent="0.25">
      <c r="A43" s="11" t="s">
        <v>560</v>
      </c>
      <c r="B43" s="26">
        <v>95000</v>
      </c>
      <c r="C43" s="26">
        <v>93000</v>
      </c>
      <c r="D43" s="26"/>
      <c r="E43" s="26"/>
      <c r="F43" s="26"/>
      <c r="G43" s="55"/>
    </row>
    <row r="44" spans="1:7" x14ac:dyDescent="0.25">
      <c r="A44" s="25" t="s">
        <v>303</v>
      </c>
      <c r="B44" s="26">
        <v>95000</v>
      </c>
      <c r="C44" s="26">
        <v>93000</v>
      </c>
      <c r="D44" s="26"/>
      <c r="E44" s="26"/>
      <c r="F44" s="26"/>
      <c r="G44" s="55"/>
    </row>
    <row r="45" spans="1:7" x14ac:dyDescent="0.25">
      <c r="A45" s="3" t="s">
        <v>589</v>
      </c>
      <c r="B45" s="26">
        <v>53000</v>
      </c>
      <c r="C45" s="26">
        <v>52500</v>
      </c>
      <c r="D45" s="26"/>
      <c r="E45" s="26"/>
      <c r="F45" s="26"/>
      <c r="G45" s="55"/>
    </row>
    <row r="46" spans="1:7" x14ac:dyDescent="0.25">
      <c r="A46" s="11" t="s">
        <v>582</v>
      </c>
      <c r="B46" s="26">
        <v>53000</v>
      </c>
      <c r="C46" s="26">
        <v>52500</v>
      </c>
      <c r="D46" s="26"/>
      <c r="E46" s="26"/>
      <c r="F46" s="26"/>
      <c r="G46" s="55"/>
    </row>
    <row r="47" spans="1:7" x14ac:dyDescent="0.25">
      <c r="A47" s="25" t="s">
        <v>303</v>
      </c>
      <c r="B47" s="26">
        <v>53000</v>
      </c>
      <c r="C47" s="26">
        <v>52500</v>
      </c>
      <c r="D47" s="26"/>
      <c r="E47" s="26"/>
      <c r="F47" s="26"/>
      <c r="G47" s="55"/>
    </row>
    <row r="48" spans="1:7" x14ac:dyDescent="0.25">
      <c r="A48" s="3" t="s">
        <v>245</v>
      </c>
      <c r="B48" s="26">
        <v>13713740</v>
      </c>
      <c r="C48" s="26">
        <v>1149515</v>
      </c>
      <c r="D48" s="26">
        <v>759489.3</v>
      </c>
      <c r="E48" s="26"/>
      <c r="F48" s="26">
        <v>12000</v>
      </c>
      <c r="G48" s="55"/>
    </row>
    <row r="49" spans="7:7" x14ac:dyDescent="0.25">
      <c r="G49" s="55"/>
    </row>
    <row r="50" spans="7:7" x14ac:dyDescent="0.25">
      <c r="G50" s="55"/>
    </row>
    <row r="51" spans="7:7" x14ac:dyDescent="0.25">
      <c r="G51" s="55"/>
    </row>
    <row r="52" spans="7:7" x14ac:dyDescent="0.25">
      <c r="G52" s="55"/>
    </row>
    <row r="59" spans="7:7" x14ac:dyDescent="0.25">
      <c r="G59" s="26">
        <f>G2-GETPIVOTDATA("Sum of Anticipated Costs Unincombered",$A$4)</f>
        <v>604514</v>
      </c>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 C o l u m n s \ F i s c a l   Y e a r < / K e y > < / a : K e y > < a : V a l u e   i : t y p e = " T a b l e W i d g e t B a s e V i e w S t a t e " / > < / a : K e y V a l u e O f D i a g r a m O b j e c t K e y a n y T y p e z b w N T n L X > < a : K e y V a l u e O f D i a g r a m O b j e c t K e y a n y T y p e z b w N T n L X > < a : K e y > < K e y > C o l u m n s \ F u n d   N o . < / K e y > < / a : K e y > < a : V a l u e   i : t y p e = " T a b l e W i d g e t B a s e V i e w S t a t e " / > < / a : K e y V a l u e O f D i a g r a m O b j e c t K e y a n y T y p e z b w N T n L X > < a : K e y V a l u e O f D i a g r a m O b j e c t K e y a n y T y p e z b w N T n L X > < a : K e y > < K e y > C o l u m n s \ F u n d   N a m e < / K e y > < / a : K e y > < a : V a l u e   i : t y p e = " T a b l e W i d g e t B a s e V i e w S t a t e " / > < / a : K e y V a l u e O f D i a g r a m O b j e c t K e y a n y T y p e z b w N T n L X > < a : K e y V a l u e O f D i a g r a m O b j e c t K e y a n y T y p e z b w N T n L X > < a : K e y > < K e y > C o l u m n s \ P r o g r a m < / K e y > < / a : K e y > < a : V a l u e   i : t y p e = " T a b l e W i d g e t B a s e V i e w S t a t e " / > < / a : K e y V a l u e O f D i a g r a m O b j e c t K e y a n y T y p e z b w N T n L X > < a : K e y V a l u e O f D i a g r a m O b j e c t K e y a n y T y p e z b w N T n L X > < a : K e y > < K e y > C o l u m n s \ A c c o u n t   # < / K e y > < / a : K e y > < a : V a l u e   i : t y p e = " T a b l e W i d g e t B a s e V i e w S t a t e " / > < / a : K e y V a l u e O f D i a g r a m O b j e c t K e y a n y T y p e z b w N T n L X > < a : K e y V a l u e O f D i a g r a m O b j e c t K e y a n y T y p e z b w N T n L X > < a : K e y > < K e y > C o l u m n s \ P r o j e c t   T y p e < / K e y > < / a : K e y > < a : V a l u e   i : t y p e = " T a b l e W i d g e t B a s e V i e w S t a t e " / > < / a : K e y V a l u e O f D i a g r a m O b j e c t K e y a n y T y p e z b w N T n L X > < a : K e y V a l u e O f D i a g r a m O b j e c t K e y a n y T y p e z b w N T n L X > < a : K e y > < K e y > C o l u m n s \ P r o j e c t   N a m e < / K e y > < / a : K e y > < a : V a l u e   i : t y p e = " T a b l e W i d g e t B a s e V i e w S t a t e " / > < / a : K e y V a l u e O f D i a g r a m O b j e c t K e y a n y T y p e z b w N T n L X > < a : K e y V a l u e O f D i a g r a m O b j e c t K e y a n y T y p e z b w N T n L X > < a : K e y > < K e y > C o l u m n s \ C u r r e n t   P h a s e < / K e y > < / a : K e y > < a : V a l u e   i : t y p e = " T a b l e W i d g e t B a s e V i e w S t a t e " / > < / a : K e y V a l u e O f D i a g r a m O b j e c t K e y a n y T y p e z b w N T n L X > < a : K e y V a l u e O f D i a g r a m O b j e c t K e y a n y T y p e z b w N T n L X > < a : K e y > < K e y > C o l u m n s \ O v e r a l l   B u d g e t < / K e y > < / a : K e y > < a : V a l u e   i : t y p e = " T a b l e W i d g e t B a s e V i e w S t a t e " / > < / a : K e y V a l u e O f D i a g r a m O b j e c t K e y a n y T y p e z b w N T n L X > < a : K e y V a l u e O f D i a g r a m O b j e c t K e y a n y T y p e z b w N T n L X > < a : K e y > < K e y > C o l u m n s \ C o n s t r u c t i o n   P O   # s < / K e y > < / a : K e y > < a : V a l u e   i : t y p e = " T a b l e W i d g e t B a s e V i e w S t a t e " / > < / a : K e y V a l u e O f D i a g r a m O b j e c t K e y a n y T y p e z b w N T n L X > < a : K e y V a l u e O f D i a g r a m O b j e c t K e y a n y T y p e z b w N T n L X > < a : K e y > < K e y > C o l u m n s \ D e s i g n   E n g i n e e r < / K e y > < / a : K e y > < a : V a l u e   i : t y p e = " T a b l e W i d g e t B a s e V i e w S t a t e " / > < / a : K e y V a l u e O f D i a g r a m O b j e c t K e y a n y T y p e z b w N T n L X > < a : K e y V a l u e O f D i a g r a m O b j e c t K e y a n y T y p e z b w N T n L X > < a : K e y > < K e y > C o l u m n s \ P r o f e s s i o n a l   S e r v i c e   A g r e e m e n t   ( P S A )   A m o u n t < / K e y > < / a : K e y > < a : V a l u e   i : t y p e = " T a b l e W i d g e t B a s e V i e w S t a t e " / > < / a : K e y V a l u e O f D i a g r a m O b j e c t K e y a n y T y p e z b w N T n L X > < a : K e y V a l u e O f D i a g r a m O b j e c t K e y a n y T y p e z b w N T n L X > < a : K e y > < K e y > C o l u m n s \ A c t u a l   P S A   S p e n t < / K e y > < / a : K e y > < a : V a l u e   i : t y p e = " T a b l e W i d g e t B a s e V i e w S t a t e " / > < / a : K e y V a l u e O f D i a g r a m O b j e c t K e y a n y T y p e z b w N T n L X > < a : K e y V a l u e O f D i a g r a m O b j e c t K e y a n y T y p e z b w N T n L X > < a : K e y > < K e y > C o l u m n s \ F i s c a l   Y e a r   D e s i g n   C o m p l e t e < / K e y > < / a : K e y > < a : V a l u e   i : t y p e = " T a b l e W i d g e t B a s e V i e w S t a t e " / > < / a : K e y V a l u e O f D i a g r a m O b j e c t K e y a n y T y p e z b w N T n L X > < a : K e y V a l u e O f D i a g r a m O b j e c t K e y a n y T y p e z b w N T n L X > < a : K e y > < K e y > C o l u m n s \ F i s c a l   Y e a r   B i d < / K e y > < / a : K e y > < a : V a l u e   i : t y p e = " T a b l e W i d g e t B a s e V i e w S t a t e " / > < / a : K e y V a l u e O f D i a g r a m O b j e c t K e y a n y T y p e z b w N T n L X > < a : K e y V a l u e O f D i a g r a m O b j e c t K e y a n y T y p e z b w N T n L X > < a : K e y > < K e y > C o l u m n s \ C o n s t r u c t i o n   S t a r t   D a t e < / K e y > < / a : K e y > < a : V a l u e   i : t y p e = " T a b l e W i d g e t B a s e V i e w S t a t e " / > < / a : K e y V a l u e O f D i a g r a m O b j e c t K e y a n y T y p e z b w N T n L X > < a : K e y V a l u e O f D i a g r a m O b j e c t K e y a n y T y p e z b w N T n L X > < a : K e y > < K e y > C o l u m n s \ C o n s t r u c t i o n   C o m p l e t i o n   D a t e < / K e y > < / a : K e y > < a : V a l u e   i : t y p e = " T a b l e W i d g e t B a s e V i e w S t a t e " / > < / a : K e y V a l u e O f D i a g r a m O b j e c t K e y a n y T y p e z b w N T n L X > < a : K e y V a l u e O f D i a g r a m O b j e c t K e y a n y T y p e z b w N T n L X > < a : K e y > < K e y > C o l u m n s \ F i s c a l   Y e a r   C o n s t r u c t i o n   C o m p l e t e d < / K e y > < / a : K e y > < a : V a l u e   i : t y p e = " T a b l e W i d g e t B a s e V i e w S t a t e " / > < / a : K e y V a l u e O f D i a g r a m O b j e c t K e y a n y T y p e z b w N T n L X > < a : K e y V a l u e O f D i a g r a m O b j e c t K e y a n y T y p e z b w N T n L X > < a : K e y > < K e y > C o l u m n s \ P l a n n e d   C o n s t r u c t i o n   C o m p l e t i o n   D a t e < / K e y > < / a : K e y > < a : V a l u e   i : t y p e = " T a b l e W i d g e t B a s e V i e w S t a t e " / > < / a : K e y V a l u e O f D i a g r a m O b j e c t K e y a n y T y p e z b w N T n L X > < a : K e y V a l u e O f D i a g r a m O b j e c t K e y a n y T y p e z b w N T n L X > < a : K e y > < K e y > C o l u m n s \ I n s p e c t o r < / K e y > < / a : K e y > < a : V a l u e   i : t y p e = " T a b l e W i d g e t B a s e V i e w S t a t e " / > < / a : K e y V a l u e O f D i a g r a m O b j e c t K e y a n y T y p e z b w N T n L X > < a : K e y V a l u e O f D i a g r a m O b j e c t K e y a n y T y p e z b w N T n L X > < a : K e y > < K e y > C o l u m n s \ P r o j e c t   E n g i n e e r < / K e y > < / a : K e y > < a : V a l u e   i : t y p e = " T a b l e W i d g e t B a s e V i e w S t a t e " / > < / a : K e y V a l u e O f D i a g r a m O b j e c t K e y a n y T y p e z b w N T n L X > < a : K e y V a l u e O f D i a g r a m O b j e c t K e y a n y T y p e z b w N T n L X > < a : K e y > < K e y > C o l u m n s \ C o n t r a c t o r < / K e y > < / a : K e y > < a : V a l u e   i : t y p e = " T a b l e W i d g e t B a s e V i e w S t a t e " / > < / a : K e y V a l u e O f D i a g r a m O b j e c t K e y a n y T y p e z b w N T n L X > < a : K e y V a l u e O f D i a g r a m O b j e c t K e y a n y T y p e z b w N T n L X > < a : K e y > < K e y > C o l u m n s \ I D O T < / K e y > < / a : K e y > < a : V a l u e   i : t y p e = " T a b l e W i d g e t B a s e V i e w S t a t e " / > < / a : K e y V a l u e O f D i a g r a m O b j e c t K e y a n y T y p e z b w N T n L X > < a : K e y V a l u e O f D i a g r a m O b j e c t K e y a n y T y p e z b w N T n L X > < a : K e y > < K e y > C o l u m n s \ M P O   S T B G   F u n d s < / K e y > < / a : K e y > < a : V a l u e   i : t y p e = " T a b l e W i d g e t B a s e V i e w S t a t e " / > < / a : K e y V a l u e O f D i a g r a m O b j e c t K e y a n y T y p e z b w N T n L X > < a : K e y V a l u e O f D i a g r a m O b j e c t K e y a n y T y p e z b w N T n L X > < a : K e y > < K e y > C o l u m n s \ E n g i n e e r ' s   E s t < / K e y > < / a : K e y > < a : V a l u e   i : t y p e = " T a b l e W i d g e t B a s e V i e w S t a t e " / > < / a : K e y V a l u e O f D i a g r a m O b j e c t K e y a n y T y p e z b w N T n L X > < a : K e y V a l u e O f D i a g r a m O b j e c t K e y a n y T y p e z b w N T n L X > < a : K e y > < K e y > C o l u m n s \ B i d   A m o u n t < / K e y > < / a : K e y > < a : V a l u e   i : t y p e = " T a b l e W i d g e t B a s e V i e w S t a t e " / > < / a : K e y V a l u e O f D i a g r a m O b j e c t K e y a n y T y p e z b w N T n L X > < a : K e y V a l u e O f D i a g r a m O b j e c t K e y a n y T y p e z b w N T n L X > < a : K e y > < K e y > C o l u m n s \ F i n a l   C o n s t r u c t i o n   C o s t s < / K e y > < / a : K e y > < a : V a l u e   i : t y p e = " T a b l e W i d g e t B a s e V i e w S t a t e " / > < / a : K e y V a l u e O f D i a g r a m O b j e c t K e y a n y T y p e z b w N T n L X > < a : K e y V a l u e O f D i a g r a m O b j e c t K e y a n y T y p e z b w N T n L X > < a : K e y > < K e y > C o l u m n s \ E s t i m a t e d   C O A   E n g i n e e r i n g   /     A d m i n < / K e y > < / a : K e y > < a : V a l u e   i : t y p e = " T a b l e W i d g e t B a s e V i e w S t a t e " / > < / a : K e y V a l u e O f D i a g r a m O b j e c t K e y a n y T y p e z b w N T n L X > < a : K e y V a l u e O f D i a g r a m O b j e c t K e y a n y T y p e z b w N T n L X > < a : K e y > < K e y > C o l u m n s \ A c t u a l   C O A   E n g i n e e r i n g   /   A d m i n < / K e y > < / a : K e y > < a : V a l u e   i : t y p e = " T a b l e W i d g e t B a s e V i e w S t a t e " / > < / a : K e y V a l u e O f D i a g r a m O b j e c t K e y a n y T y p e z b w N T n L X > < a : K e y V a l u e O f D i a g r a m O b j e c t K e y a n y T y p e z b w N T n L X > < a : K e y > < K e y > C o l u m n s \ T o t a l   A n t i c i p a t e d   C o s t s < / K e y > < / a : K e y > < a : V a l u e   i : t y p e = " T a b l e W i d g e t B a s e V i e w S t a t e " / > < / a : K e y V a l u e O f D i a g r a m O b j e c t K e y a n y T y p e z b w N T n L X > < a : K e y V a l u e O f D i a g r a m O b j e c t K e y a n y T y p e z b w N T n L X > < a : K e y > < K e y > C o l u m n s \ A c t u a l   C o n t r a c t u a l   C o s t s   +   E s t i m a t e d   C O A < / K e y > < / a : K e y > < a : V a l u e   i : t y p e = " T a b l e W i d g e t B a s e V i e w S t a t e " / > < / a : K e y V a l u e O f D i a g r a m O b j e c t K e y a n y T y p e z b w N T n L X > < a : K e y V a l u e O f D i a g r a m O b j e c t K e y a n y T y p e z b w N T n L X > < a : K e y > < K e y > C o l u m n s \ R e m a i n i n g   B u d g e t   ( I - A D ) < / K e y > < / a : K e y > < a : V a l u e   i : t y p e = " T a b l e W i d g e t B a s e V i e w S t a t e " / > < / a : K e y V a l u e O f D i a g r a m O b j e c t K e y a n y T y p e z b w N T n L X > < a : K e y V a l u e O f D i a g r a m O b j e c t K e y a n y T y p e z b w N T n L X > < a : K e y > < K e y > C o l u m n s \ N P D E S   P e r m i t < / K e y > < / a : K e y > < a : V a l u e   i : t y p e = " T a b l e W i d g e t B a s e V i e w S t a t e " / > < / a : K e y V a l u e O f D i a g r a m O b j e c t K e y a n y T y p e z b w N T n L X > < a : K e y V a l u e O f D i a g r a m O b j e c t K e y a n y T y p e z b w N T n L X > < a : K e y > < K e y > C o l u m n s \ A v a i l a b l e   B a l a n c e   ( 4 / 0 1 / 2 0 2 5 ) < / K e y > < / a : K e y > < a : V a l u e   i : t y p e = " T a b l e W i d g e t B a s e V i e w S t a t e " / > < / a : K e y V a l u e O f D i a g r a m O b j e c t K e y a n y T y p e z b w N T n L X > < a : K e y V a l u e O f D i a g r a m O b j e c t K e y a n y T y p e z b w N T n L X > < a : K e y > < K e y > C o l u m n s \ R F P < / K e y > < / a : K e y > < a : V a l u e   i : t y p e = " T a b l e W i d g e t B a s e V i e w S t a t e " / > < / a : K e y V a l u e O f D i a g r a m O b j e c t K e y a n y T y p e z b w N T n L X > < a : K e y V a l u e O f D i a g r a m O b j e c t K e y a n y T y p e z b w N T n L X > < a : K e y > < K e y > C o l u m n s \ N o t e s < / 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0.xml>��< ? x m l   v e r s i o n = " 1 . 0 "   e n c o d i n g = " U T F - 1 6 " ? > < G e m i n i   x m l n s = " h t t p : / / g e m i n i / p i v o t c u s t o m i z a t i o n / S a n d b o x N o n E m p t y " > < C u s t o m C o n t e n t > < ! [ C D A T A [ 1 ] ] > < / C u s t o m C o n t e n t > < / G e m i n i > 
</file>

<file path=customXml/item11.xml>��< ? x m l   v e r s i o n = " 1 . 0 "   e n c o d i n g = " U T F - 1 6 " ? > < G e m i n i   x m l n s = " h t t p : / / g e m i n i / p i v o t c u s t o m i z a t i o n / C l i e n t W i n d o w X M L " > < C u s t o m C o n t e n t > < ! [ C D A T A [ T a b l e 1 ] ] > < / C u s t o m C o n t e n t > < / G e m i n i > 
</file>

<file path=customXml/item12.xml>��< ? x m l   v e r s i o n = " 1 . 0 "   e n c o d i n g = " U T F - 1 6 " ? > < G e m i n i   x m l n s = " h t t p : / / g e m i n i / p i v o t c u s t o m i z a t i o n / S h o w H i d d e n " > < C u s t o m C o n t e n t > < ! [ C D A T A [ T r u e ] ] > < / C u s t o m C o n t e n t > < / G e m i n i > 
</file>

<file path=customXml/item13.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14.xml>��< ? x m l   v e r s i o n = " 1 . 0 "   e n c o d i n g = " U T F - 1 6 " ? > < G e m i n i   x m l n s = " h t t p : / / g e m i n i / p i v o t c u s t o m i z a t i o n / I s S a n d b o x E m b e d d e d " > < C u s t o m C o n t e n t > < ! [ C D A T A [ y e s ] ] > < / C u s t o m C o n t e n t > < / G e m i n i > 
</file>

<file path=customXml/item15.xml>��< ? x m l   v e r s i o n = " 1 . 0 "   e n c o d i n g = " U T F - 1 6 " ? > < G e m i n i   x m l n s = " h t t p : / / g e m i n i / p i v o t c u s t o m i z a t i o n / T a b l e O r d e r " > < C u s t o m C o n t e n t > < ! [ C D A T A [ T a b l e 1 ] ] > < / C u s t o m C o n t e n t > < / G e m i n i > 
</file>

<file path=customXml/item16.xml>��< ? x m l   v e r s i o n = " 1 . 0 "   e n c o d i n g = " U T F - 1 6 " ? > < G e m i n i   x m l n s = " h t t p : / / g e m i n i / p i v o t c u s t o m i z a t i o n / L i n k e d T a b l e U p d a t e M o d e " > < C u s t o m C o n t e n t > < ! [ C D A T A [ T r u e ] ] > < / C u s t o m C o n t e n t > < / G e m i n i > 
</file>

<file path=customXml/item17.xml>��< ? x m l   v e r s i o n = " 1 . 0 "   e n c o d i n g = " U T F - 1 6 " ? > < G e m i n i   x m l n s = " h t t p : / / g e m i n i / p i v o t c u s t o m i z a t i o n / P o w e r P i v o t V e r s i o n " > < C u s t o m C o n t e n t > < ! [ C D A T A [ 2 0 1 5 . 1 3 0 . 1 6 0 6 . 1 ] ] > < / C u s t o m C o n t e n t > < / G e m i n i > 
</file>

<file path=customXml/item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 P r o j e c t   N a m e < / K e y > < / D i a g r a m O b j e c t K e y > < D i a g r a m O b j e c t K e y > < K e y > M e a s u r e s \ C o u n t   o f   P r o j e c t   N a m e \ T a g I n f o \ F o r m u l a < / K e y > < / D i a g r a m O b j e c t K e y > < D i a g r a m O b j e c t K e y > < K e y > M e a s u r e s \ C o u n t   o f   P r o j e c t   N a m e \ T a g I n f o \ V a l u e < / K e y > < / D i a g r a m O b j e c t K e y > < D i a g r a m O b j e c t K e y > < K e y > M e a s u r e s \ D i s t i n c t   C o u n t   o f   P r o j e c t   N a m e < / K e y > < / D i a g r a m O b j e c t K e y > < D i a g r a m O b j e c t K e y > < K e y > M e a s u r e s \ D i s t i n c t   C o u n t   o f   P r o j e c t   N a m e \ T a g I n f o \ F o r m u l a < / K e y > < / D i a g r a m O b j e c t K e y > < D i a g r a m O b j e c t K e y > < K e y > M e a s u r e s \ D i s t i n c t   C o u n t   o f   P r o j e c t   N a m e \ T a g I n f o \ V a l u e < / K e y > < / D i a g r a m O b j e c t K e y > < D i a g r a m O b j e c t K e y > < K e y > M e a s u r e s \ C o u n t   o f   C u r r e n t   P h a s e < / K e y > < / D i a g r a m O b j e c t K e y > < D i a g r a m O b j e c t K e y > < K e y > M e a s u r e s \ C o u n t   o f   C u r r e n t   P h a s e \ T a g I n f o \ F o r m u l a < / K e y > < / D i a g r a m O b j e c t K e y > < D i a g r a m O b j e c t K e y > < K e y > M e a s u r e s \ C o u n t   o f   C u r r e n t   P h a s e \ T a g I n f o \ V a l u e < / K e y > < / D i a g r a m O b j e c t K e y > < D i a g r a m O b j e c t K e y > < K e y > M e a s u r e s \ S u m   o f   O v e r a l l   B u d g e t < / K e y > < / D i a g r a m O b j e c t K e y > < D i a g r a m O b j e c t K e y > < K e y > M e a s u r e s \ S u m   o f   O v e r a l l   B u d g e t \ T a g I n f o \ F o r m u l a < / K e y > < / D i a g r a m O b j e c t K e y > < D i a g r a m O b j e c t K e y > < K e y > M e a s u r e s \ S u m   o f   O v e r a l l   B u d g e t \ T a g I n f o \ V a l u e < / K e y > < / D i a g r a m O b j e c t K e y > < D i a g r a m O b j e c t K e y > < K e y > M e a s u r e s \ S u m   o f   B i d   A m o u n t   2 < / K e y > < / D i a g r a m O b j e c t K e y > < D i a g r a m O b j e c t K e y > < K e y > M e a s u r e s \ S u m   o f   B i d   A m o u n t   2 \ T a g I n f o \ F o r m u l a < / K e y > < / D i a g r a m O b j e c t K e y > < D i a g r a m O b j e c t K e y > < K e y > M e a s u r e s \ S u m   o f   B i d   A m o u n t   2 \ T a g I n f o \ V a l u e < / K e y > < / D i a g r a m O b j e c t K e y > < D i a g r a m O b j e c t K e y > < K e y > M e a s u r e s \ S u m   o f   F i n a l   C o n s t r u c t i o n   C o s t s   2 < / K e y > < / D i a g r a m O b j e c t K e y > < D i a g r a m O b j e c t K e y > < K e y > M e a s u r e s \ S u m   o f   F i n a l   C o n s t r u c t i o n   C o s t s   2 \ T a g I n f o \ F o r m u l a < / K e y > < / D i a g r a m O b j e c t K e y > < D i a g r a m O b j e c t K e y > < K e y > M e a s u r e s \ S u m   o f   F i n a l   C o n s t r u c t i o n   C o s t s   2 \ T a g I n f o \ V a l u e < / K e y > < / D i a g r a m O b j e c t K e y > < D i a g r a m O b j e c t K e y > < K e y > M e a s u r e s \ S u m   o f   T o t a l   A n t i c i p a t e d   C o s t s   2 < / K e y > < / D i a g r a m O b j e c t K e y > < D i a g r a m O b j e c t K e y > < K e y > M e a s u r e s \ S u m   o f   T o t a l   A n t i c i p a t e d   C o s t s   2 \ T a g I n f o \ F o r m u l a < / K e y > < / D i a g r a m O b j e c t K e y > < D i a g r a m O b j e c t K e y > < K e y > M e a s u r e s \ S u m   o f   T o t a l   A n t i c i p a t e d   C o s t s   2 \ T a g I n f o \ V a l u e < / K e y > < / D i a g r a m O b j e c t K e y > < D i a g r a m O b j e c t K e y > < K e y > M e a s u r e s \ S u m   o f   A c t u a l   C o n t r a c t u a l   C o s t s   +   E s t i m a t e d   C O A < / K e y > < / D i a g r a m O b j e c t K e y > < D i a g r a m O b j e c t K e y > < K e y > M e a s u r e s \ S u m   o f   A c t u a l   C o n t r a c t u a l   C o s t s   +   E s t i m a t e d   C O A \ T a g I n f o \ F o r m u l a < / K e y > < / D i a g r a m O b j e c t K e y > < D i a g r a m O b j e c t K e y > < K e y > M e a s u r e s \ S u m   o f   A c t u a l   C o n t r a c t u a l   C o s t s   +   E s t i m a t e d   C O A \ T a g I n f o \ V a l u e < / K e y > < / D i a g r a m O b j e c t K e y > < D i a g r a m O b j e c t K e y > < K e y > M e a s u r e s \ S u m   o f   F u n d   N o . < / K e y > < / D i a g r a m O b j e c t K e y > < D i a g r a m O b j e c t K e y > < K e y > M e a s u r e s \ S u m   o f   F u n d   N o . \ T a g I n f o \ F o r m u l a < / K e y > < / D i a g r a m O b j e c t K e y > < D i a g r a m O b j e c t K e y > < K e y > M e a s u r e s \ S u m   o f   F u n d   N o . \ T a g I n f o \ V a l u e < / K e y > < / D i a g r a m O b j e c t K e y > < D i a g r a m O b j e c t K e y > < K e y > M e a s u r e s \ S u m   o f   A v a i l a b l e   B a l a n c e   ( 4 / 0 1 / 2 0 2 5 ) < / K e y > < / D i a g r a m O b j e c t K e y > < D i a g r a m O b j e c t K e y > < K e y > M e a s u r e s \ S u m   o f   A v a i l a b l e   B a l a n c e   ( 4 / 0 1 / 2 0 2 5 ) \ T a g I n f o \ F o r m u l a < / K e y > < / D i a g r a m O b j e c t K e y > < D i a g r a m O b j e c t K e y > < K e y > M e a s u r e s \ S u m   o f   A v a i l a b l e   B a l a n c e   ( 4 / 0 1 / 2 0 2 5 ) \ T a g I n f o \ V a l u e < / K e y > < / D i a g r a m O b j e c t K e y > < D i a g r a m O b j e c t K e y > < K e y > M e a s u r e s \ S u m   o f   A c t u a l   C O A   E n g i n e e r i n g   /   A d m i n < / K e y > < / D i a g r a m O b j e c t K e y > < D i a g r a m O b j e c t K e y > < K e y > M e a s u r e s \ S u m   o f   A c t u a l   C O A   E n g i n e e r i n g   /   A d m i n \ T a g I n f o \ F o r m u l a < / K e y > < / D i a g r a m O b j e c t K e y > < D i a g r a m O b j e c t K e y > < K e y > M e a s u r e s \ S u m   o f   A c t u a l   C O A   E n g i n e e r i n g   /   A d m i n \ T a g I n f o \ V a l u e < / K e y > < / D i a g r a m O b j e c t K e y > < D i a g r a m O b j e c t K e y > < K e y > M e a s u r e s \ S u m   o f   E n g i n e e r ' s   E s t < / K e y > < / D i a g r a m O b j e c t K e y > < D i a g r a m O b j e c t K e y > < K e y > M e a s u r e s \ S u m   o f   E n g i n e e r ' s   E s t \ T a g I n f o \ F o r m u l a < / K e y > < / D i a g r a m O b j e c t K e y > < D i a g r a m O b j e c t K e y > < K e y > M e a s u r e s \ S u m   o f   E n g i n e e r ' s   E s t \ T a g I n f o \ V a l u e < / K e y > < / D i a g r a m O b j e c t K e y > < D i a g r a m O b j e c t K e y > < K e y > C o l u m n s \ F i s c a l   Y e a r < / K e y > < / D i a g r a m O b j e c t K e y > < D i a g r a m O b j e c t K e y > < K e y > C o l u m n s \ F u n d   N o . < / K e y > < / D i a g r a m O b j e c t K e y > < D i a g r a m O b j e c t K e y > < K e y > C o l u m n s \ F u n d   N a m e < / K e y > < / D i a g r a m O b j e c t K e y > < D i a g r a m O b j e c t K e y > < K e y > C o l u m n s \ P r o g r a m < / K e y > < / D i a g r a m O b j e c t K e y > < D i a g r a m O b j e c t K e y > < K e y > C o l u m n s \ A c c o u n t   # < / K e y > < / D i a g r a m O b j e c t K e y > < D i a g r a m O b j e c t K e y > < K e y > C o l u m n s \ P r o j e c t   T y p e < / K e y > < / D i a g r a m O b j e c t K e y > < D i a g r a m O b j e c t K e y > < K e y > C o l u m n s \ P r o j e c t   N a m e < / K e y > < / D i a g r a m O b j e c t K e y > < D i a g r a m O b j e c t K e y > < K e y > C o l u m n s \ C u r r e n t   P h a s e < / K e y > < / D i a g r a m O b j e c t K e y > < D i a g r a m O b j e c t K e y > < K e y > C o l u m n s \ O v e r a l l   B u d g e t < / K e y > < / D i a g r a m O b j e c t K e y > < D i a g r a m O b j e c t K e y > < K e y > C o l u m n s \ C o n s t r u c t i o n   P O   # s < / K e y > < / D i a g r a m O b j e c t K e y > < D i a g r a m O b j e c t K e y > < K e y > C o l u m n s \ D e s i g n   E n g i n e e r < / K e y > < / D i a g r a m O b j e c t K e y > < D i a g r a m O b j e c t K e y > < K e y > C o l u m n s \ P r o f e s s i o n a l   S e r v i c e   A g r e e m e n t   ( P S A )   A m o u n t < / K e y > < / D i a g r a m O b j e c t K e y > < D i a g r a m O b j e c t K e y > < K e y > C o l u m n s \ A c t u a l   P S A   S p e n t < / K e y > < / D i a g r a m O b j e c t K e y > < D i a g r a m O b j e c t K e y > < K e y > C o l u m n s \ F i s c a l   Y e a r   D e s i g n   C o m p l e t e < / K e y > < / D i a g r a m O b j e c t K e y > < D i a g r a m O b j e c t K e y > < K e y > C o l u m n s \ F i s c a l   Y e a r   B i d < / K e y > < / D i a g r a m O b j e c t K e y > < D i a g r a m O b j e c t K e y > < K e y > C o l u m n s \ C o n s t r u c t i o n   S t a r t   D a t e < / K e y > < / D i a g r a m O b j e c t K e y > < D i a g r a m O b j e c t K e y > < K e y > C o l u m n s \ C o n s t r u c t i o n   C o m p l e t i o n   D a t e < / K e y > < / D i a g r a m O b j e c t K e y > < D i a g r a m O b j e c t K e y > < K e y > C o l u m n s \ F i s c a l   Y e a r   C o n s t r u c t i o n   C o m p l e t e d < / K e y > < / D i a g r a m O b j e c t K e y > < D i a g r a m O b j e c t K e y > < K e y > C o l u m n s \ P l a n n e d   C o n s t r u c t i o n   C o m p l e t i o n   D a t e < / K e y > < / D i a g r a m O b j e c t K e y > < D i a g r a m O b j e c t K e y > < K e y > C o l u m n s \ I n s p e c t o r < / K e y > < / D i a g r a m O b j e c t K e y > < D i a g r a m O b j e c t K e y > < K e y > C o l u m n s \ P r o j e c t   E n g i n e e r < / K e y > < / D i a g r a m O b j e c t K e y > < D i a g r a m O b j e c t K e y > < K e y > C o l u m n s \ C o n t r a c t o r < / K e y > < / D i a g r a m O b j e c t K e y > < D i a g r a m O b j e c t K e y > < K e y > C o l u m n s \ I D O T < / K e y > < / D i a g r a m O b j e c t K e y > < D i a g r a m O b j e c t K e y > < K e y > C o l u m n s \ M P O   S T B G   F u n d s < / K e y > < / D i a g r a m O b j e c t K e y > < D i a g r a m O b j e c t K e y > < K e y > C o l u m n s \ E n g i n e e r ' s   E s t < / K e y > < / D i a g r a m O b j e c t K e y > < D i a g r a m O b j e c t K e y > < K e y > C o l u m n s \ B i d   A m o u n t < / K e y > < / D i a g r a m O b j e c t K e y > < D i a g r a m O b j e c t K e y > < K e y > C o l u m n s \ F i n a l   C o n s t r u c t i o n   C o s t s < / K e y > < / D i a g r a m O b j e c t K e y > < D i a g r a m O b j e c t K e y > < K e y > C o l u m n s \ E s t i m a t e d   C O A   E n g i n e e r i n g   /     A d m i n < / K e y > < / D i a g r a m O b j e c t K e y > < D i a g r a m O b j e c t K e y > < K e y > C o l u m n s \ A c t u a l   C O A   E n g i n e e r i n g   /   A d m i n < / K e y > < / D i a g r a m O b j e c t K e y > < D i a g r a m O b j e c t K e y > < K e y > C o l u m n s \ T o t a l   A n t i c i p a t e d   C o s t s < / K e y > < / D i a g r a m O b j e c t K e y > < D i a g r a m O b j e c t K e y > < K e y > C o l u m n s \ A c t u a l   C o n t r a c t u a l   C o s t s   +   E s t i m a t e d   C O A < / K e y > < / D i a g r a m O b j e c t K e y > < D i a g r a m O b j e c t K e y > < K e y > C o l u m n s \ R e m a i n i n g   B u d g e t   ( I - A D ) < / K e y > < / D i a g r a m O b j e c t K e y > < D i a g r a m O b j e c t K e y > < K e y > C o l u m n s \ N P D E S   P e r m i t < / K e y > < / D i a g r a m O b j e c t K e y > < D i a g r a m O b j e c t K e y > < K e y > C o l u m n s \ A v a i l a b l e   B a l a n c e   ( 4 / 0 1 / 2 0 2 5 ) < / K e y > < / D i a g r a m O b j e c t K e y > < D i a g r a m O b j e c t K e y > < K e y > C o l u m n s \ R F P < / K e y > < / D i a g r a m O b j e c t K e y > < D i a g r a m O b j e c t K e y > < K e y > C o l u m n s \ N o t e s < / K e y > < / D i a g r a m O b j e c t K e y > < D i a g r a m O b j e c t K e y > < K e y > L i n k s \ & l t ; C o l u m n s \ C o u n t   o f   P r o j e c t   N a m e & g t ; - & l t ; M e a s u r e s \ P r o j e c t   N a m e & g t ; < / K e y > < / D i a g r a m O b j e c t K e y > < D i a g r a m O b j e c t K e y > < K e y > L i n k s \ & l t ; C o l u m n s \ C o u n t   o f   P r o j e c t   N a m e & g t ; - & l t ; M e a s u r e s \ P r o j e c t   N a m e & g t ; \ C O L U M N < / K e y > < / D i a g r a m O b j e c t K e y > < D i a g r a m O b j e c t K e y > < K e y > L i n k s \ & l t ; C o l u m n s \ C o u n t   o f   P r o j e c t   N a m e & g t ; - & l t ; M e a s u r e s \ P r o j e c t   N a m e & g t ; \ M E A S U R E < / K e y > < / D i a g r a m O b j e c t K e y > < D i a g r a m O b j e c t K e y > < K e y > L i n k s \ & l t ; C o l u m n s \ D i s t i n c t   C o u n t   o f   P r o j e c t   N a m e & g t ; - & l t ; M e a s u r e s \ P r o j e c t   N a m e & g t ; < / K e y > < / D i a g r a m O b j e c t K e y > < D i a g r a m O b j e c t K e y > < K e y > L i n k s \ & l t ; C o l u m n s \ D i s t i n c t   C o u n t   o f   P r o j e c t   N a m e & g t ; - & l t ; M e a s u r e s \ P r o j e c t   N a m e & g t ; \ C O L U M N < / K e y > < / D i a g r a m O b j e c t K e y > < D i a g r a m O b j e c t K e y > < K e y > L i n k s \ & l t ; C o l u m n s \ D i s t i n c t   C o u n t   o f   P r o j e c t   N a m e & g t ; - & l t ; M e a s u r e s \ P r o j e c t   N a m e & g t ; \ M E A S U R E < / K e y > < / D i a g r a m O b j e c t K e y > < D i a g r a m O b j e c t K e y > < K e y > L i n k s \ & l t ; C o l u m n s \ C o u n t   o f   C u r r e n t   P h a s e & g t ; - & l t ; M e a s u r e s \ C u r r e n t   P h a s e & g t ; < / K e y > < / D i a g r a m O b j e c t K e y > < D i a g r a m O b j e c t K e y > < K e y > L i n k s \ & l t ; C o l u m n s \ C o u n t   o f   C u r r e n t   P h a s e & g t ; - & l t ; M e a s u r e s \ C u r r e n t   P h a s e & g t ; \ C O L U M N < / K e y > < / D i a g r a m O b j e c t K e y > < D i a g r a m O b j e c t K e y > < K e y > L i n k s \ & l t ; C o l u m n s \ C o u n t   o f   C u r r e n t   P h a s e & g t ; - & l t ; M e a s u r e s \ C u r r e n t   P h a s e & g t ; \ M E A S U R E < / K e y > < / D i a g r a m O b j e c t K e y > < D i a g r a m O b j e c t K e y > < K e y > L i n k s \ & l t ; C o l u m n s \ S u m   o f   O v e r a l l   B u d g e t & g t ; - & l t ; M e a s u r e s \ O v e r a l l   B u d g e t & g t ; < / K e y > < / D i a g r a m O b j e c t K e y > < D i a g r a m O b j e c t K e y > < K e y > L i n k s \ & l t ; C o l u m n s \ S u m   o f   O v e r a l l   B u d g e t & g t ; - & l t ; M e a s u r e s \ O v e r a l l   B u d g e t & g t ; \ C O L U M N < / K e y > < / D i a g r a m O b j e c t K e y > < D i a g r a m O b j e c t K e y > < K e y > L i n k s \ & l t ; C o l u m n s \ S u m   o f   O v e r a l l   B u d g e t & g t ; - & l t ; M e a s u r e s \ O v e r a l l   B u d g e t & g t ; \ M E A S U R E < / K e y > < / D i a g r a m O b j e c t K e y > < D i a g r a m O b j e c t K e y > < K e y > L i n k s \ & l t ; C o l u m n s \ S u m   o f   B i d   A m o u n t   2 & g t ; - & l t ; M e a s u r e s \ B i d   A m o u n t & g t ; < / K e y > < / D i a g r a m O b j e c t K e y > < D i a g r a m O b j e c t K e y > < K e y > L i n k s \ & l t ; C o l u m n s \ S u m   o f   B i d   A m o u n t   2 & g t ; - & l t ; M e a s u r e s \ B i d   A m o u n t & g t ; \ C O L U M N < / K e y > < / D i a g r a m O b j e c t K e y > < D i a g r a m O b j e c t K e y > < K e y > L i n k s \ & l t ; C o l u m n s \ S u m   o f   B i d   A m o u n t   2 & g t ; - & l t ; M e a s u r e s \ B i d   A m o u n t & g t ; \ M E A S U R E < / K e y > < / D i a g r a m O b j e c t K e y > < D i a g r a m O b j e c t K e y > < K e y > L i n k s \ & l t ; C o l u m n s \ S u m   o f   F i n a l   C o n s t r u c t i o n   C o s t s   2 & g t ; - & l t ; M e a s u r e s \ F i n a l   C o n s t r u c t i o n   C o s t s & g t ; < / K e y > < / D i a g r a m O b j e c t K e y > < D i a g r a m O b j e c t K e y > < K e y > L i n k s \ & l t ; C o l u m n s \ S u m   o f   F i n a l   C o n s t r u c t i o n   C o s t s   2 & g t ; - & l t ; M e a s u r e s \ F i n a l   C o n s t r u c t i o n   C o s t s & g t ; \ C O L U M N < / K e y > < / D i a g r a m O b j e c t K e y > < D i a g r a m O b j e c t K e y > < K e y > L i n k s \ & l t ; C o l u m n s \ S u m   o f   F i n a l   C o n s t r u c t i o n   C o s t s   2 & g t ; - & l t ; M e a s u r e s \ F i n a l   C o n s t r u c t i o n   C o s t s & g t ; \ M E A S U R E < / K e y > < / D i a g r a m O b j e c t K e y > < D i a g r a m O b j e c t K e y > < K e y > L i n k s \ & l t ; C o l u m n s \ S u m   o f   T o t a l   A n t i c i p a t e d   C o s t s   2 & g t ; - & l t ; M e a s u r e s \ T o t a l   A n t i c i p a t e d   C o s t s & g t ; < / K e y > < / D i a g r a m O b j e c t K e y > < D i a g r a m O b j e c t K e y > < K e y > L i n k s \ & l t ; C o l u m n s \ S u m   o f   T o t a l   A n t i c i p a t e d   C o s t s   2 & g t ; - & l t ; M e a s u r e s \ T o t a l   A n t i c i p a t e d   C o s t s & g t ; \ C O L U M N < / K e y > < / D i a g r a m O b j e c t K e y > < D i a g r a m O b j e c t K e y > < K e y > L i n k s \ & l t ; C o l u m n s \ S u m   o f   T o t a l   A n t i c i p a t e d   C o s t s   2 & g t ; - & l t ; M e a s u r e s \ T o t a l   A n t i c i p a t e d   C o s t s & g t ; \ M E A S U R E < / K e y > < / D i a g r a m O b j e c t K e y > < D i a g r a m O b j e c t K e y > < K e y > L i n k s \ & l t ; C o l u m n s \ S u m   o f   A c t u a l   C o n t r a c t u a l   C o s t s   +   E s t i m a t e d   C O A & g t ; - & l t ; M e a s u r e s \ A c t u a l   C o n t r a c t u a l   C o s t s   +   E s t i m a t e d   C O A & g t ; < / K e y > < / D i a g r a m O b j e c t K e y > < D i a g r a m O b j e c t K e y > < K e y > L i n k s \ & l t ; C o l u m n s \ S u m   o f   A c t u a l   C o n t r a c t u a l   C o s t s   +   E s t i m a t e d   C O A & g t ; - & l t ; M e a s u r e s \ A c t u a l   C o n t r a c t u a l   C o s t s   +   E s t i m a t e d   C O A & g t ; \ C O L U M N < / K e y > < / D i a g r a m O b j e c t K e y > < D i a g r a m O b j e c t K e y > < K e y > L i n k s \ & l t ; C o l u m n s \ S u m   o f   A c t u a l   C o n t r a c t u a l   C o s t s   +   E s t i m a t e d   C O A & g t ; - & l t ; M e a s u r e s \ A c t u a l   C o n t r a c t u a l   C o s t s   +   E s t i m a t e d   C O A & g t ; \ M E A S U R E < / K e y > < / D i a g r a m O b j e c t K e y > < D i a g r a m O b j e c t K e y > < K e y > L i n k s \ & l t ; C o l u m n s \ S u m   o f   F u n d   N o . & g t ; - & l t ; M e a s u r e s \ F u n d   N o . & g t ; < / K e y > < / D i a g r a m O b j e c t K e y > < D i a g r a m O b j e c t K e y > < K e y > L i n k s \ & l t ; C o l u m n s \ S u m   o f   F u n d   N o . & g t ; - & l t ; M e a s u r e s \ F u n d   N o . & g t ; \ C O L U M N < / K e y > < / D i a g r a m O b j e c t K e y > < D i a g r a m O b j e c t K e y > < K e y > L i n k s \ & l t ; C o l u m n s \ S u m   o f   F u n d   N o . & g t ; - & l t ; M e a s u r e s \ F u n d   N o . & g t ; \ M E A S U R E < / K e y > < / D i a g r a m O b j e c t K e y > < D i a g r a m O b j e c t K e y > < K e y > L i n k s \ & l t ; C o l u m n s \ S u m   o f   A v a i l a b l e   B a l a n c e   ( 4 / 0 1 / 2 0 2 5 ) & g t ; - & l t ; M e a s u r e s \ A v a i l a b l e   B a l a n c e   ( 4 / 0 1 / 2 0 2 5 ) & g t ; < / K e y > < / D i a g r a m O b j e c t K e y > < D i a g r a m O b j e c t K e y > < K e y > L i n k s \ & l t ; C o l u m n s \ S u m   o f   A v a i l a b l e   B a l a n c e   ( 4 / 0 1 / 2 0 2 5 ) & g t ; - & l t ; M e a s u r e s \ A v a i l a b l e   B a l a n c e   ( 4 / 0 1 / 2 0 2 5 ) & g t ; \ C O L U M N < / K e y > < / D i a g r a m O b j e c t K e y > < D i a g r a m O b j e c t K e y > < K e y > L i n k s \ & l t ; C o l u m n s \ S u m   o f   A v a i l a b l e   B a l a n c e   ( 4 / 0 1 / 2 0 2 5 ) & g t ; - & l t ; M e a s u r e s \ A v a i l a b l e   B a l a n c e   ( 4 / 0 1 / 2 0 2 5 ) & g t ; \ M E A S U R E < / K e y > < / D i a g r a m O b j e c t K e y > < D i a g r a m O b j e c t K e y > < K e y > L i n k s \ & l t ; C o l u m n s \ S u m   o f   A c t u a l   C O A   E n g i n e e r i n g   /   A d m i n & g t ; - & l t ; M e a s u r e s \ A c t u a l   C O A   E n g i n e e r i n g   /   A d m i n & g t ; < / K e y > < / D i a g r a m O b j e c t K e y > < D i a g r a m O b j e c t K e y > < K e y > L i n k s \ & l t ; C o l u m n s \ S u m   o f   A c t u a l   C O A   E n g i n e e r i n g   /   A d m i n & g t ; - & l t ; M e a s u r e s \ A c t u a l   C O A   E n g i n e e r i n g   /   A d m i n & g t ; \ C O L U M N < / K e y > < / D i a g r a m O b j e c t K e y > < D i a g r a m O b j e c t K e y > < K e y > L i n k s \ & l t ; C o l u m n s \ S u m   o f   A c t u a l   C O A   E n g i n e e r i n g   /   A d m i n & g t ; - & l t ; M e a s u r e s \ A c t u a l   C O A   E n g i n e e r i n g   /   A d m i n & g t ; \ M E A S U R E < / K e y > < / D i a g r a m O b j e c t K e y > < D i a g r a m O b j e c t K e y > < K e y > L i n k s \ & l t ; C o l u m n s \ S u m   o f   E n g i n e e r ' s   E s t & g t ; - & l t ; M e a s u r e s \ E n g i n e e r ' s   E s t & g t ; < / K e y > < / D i a g r a m O b j e c t K e y > < D i a g r a m O b j e c t K e y > < K e y > L i n k s \ & l t ; C o l u m n s \ S u m   o f   E n g i n e e r ' s   E s t & g t ; - & l t ; M e a s u r e s \ E n g i n e e r ' s   E s t & g t ; \ C O L U M N < / K e y > < / D i a g r a m O b j e c t K e y > < D i a g r a m O b j e c t K e y > < K e y > L i n k s \ & l t ; C o l u m n s \ S u m   o f   E n g i n e e r ' s   E s t & g t ; - & l t ; M e a s u r e s \ E n g i n e e r ' s   E s t & g t ; \ M E A S U R E 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 P r o j e c t   N a m e < / K e y > < / a : K e y > < a : V a l u e   i : t y p e = " M e a s u r e G r i d N o d e V i e w S t a t e " > < C o l u m n > 6 < / C o l u m n > < L a y e d O u t > t r u e < / L a y e d O u t > < W a s U I I n v i s i b l e > t r u e < / W a s U I I n v i s i b l e > < / a : V a l u e > < / a : K e y V a l u e O f D i a g r a m O b j e c t K e y a n y T y p e z b w N T n L X > < a : K e y V a l u e O f D i a g r a m O b j e c t K e y a n y T y p e z b w N T n L X > < a : K e y > < K e y > M e a s u r e s \ C o u n t   o f   P r o j e c t   N a m e \ T a g I n f o \ F o r m u l a < / K e y > < / a : K e y > < a : V a l u e   i : t y p e = " M e a s u r e G r i d V i e w S t a t e I D i a g r a m T a g A d d i t i o n a l I n f o " / > < / a : K e y V a l u e O f D i a g r a m O b j e c t K e y a n y T y p e z b w N T n L X > < a : K e y V a l u e O f D i a g r a m O b j e c t K e y a n y T y p e z b w N T n L X > < a : K e y > < K e y > M e a s u r e s \ C o u n t   o f   P r o j e c t   N a m e \ T a g I n f o \ V a l u e < / K e y > < / a : K e y > < a : V a l u e   i : t y p e = " M e a s u r e G r i d V i e w S t a t e I D i a g r a m T a g A d d i t i o n a l I n f o " / > < / a : K e y V a l u e O f D i a g r a m O b j e c t K e y a n y T y p e z b w N T n L X > < a : K e y V a l u e O f D i a g r a m O b j e c t K e y a n y T y p e z b w N T n L X > < a : K e y > < K e y > M e a s u r e s \ D i s t i n c t   C o u n t   o f   P r o j e c t   N a m e < / K e y > < / a : K e y > < a : V a l u e   i : t y p e = " M e a s u r e G r i d N o d e V i e w S t a t e " > < C o l u m n > 6 < / C o l u m n > < L a y e d O u t > t r u e < / L a y e d O u t > < R o w > 1 < / R o w > < W a s U I I n v i s i b l e > t r u e < / W a s U I I n v i s i b l e > < / a : V a l u e > < / a : K e y V a l u e O f D i a g r a m O b j e c t K e y a n y T y p e z b w N T n L X > < a : K e y V a l u e O f D i a g r a m O b j e c t K e y a n y T y p e z b w N T n L X > < a : K e y > < K e y > M e a s u r e s \ D i s t i n c t   C o u n t   o f   P r o j e c t   N a m e \ T a g I n f o \ F o r m u l a < / K e y > < / a : K e y > < a : V a l u e   i : t y p e = " M e a s u r e G r i d V i e w S t a t e I D i a g r a m T a g A d d i t i o n a l I n f o " / > < / a : K e y V a l u e O f D i a g r a m O b j e c t K e y a n y T y p e z b w N T n L X > < a : K e y V a l u e O f D i a g r a m O b j e c t K e y a n y T y p e z b w N T n L X > < a : K e y > < K e y > M e a s u r e s \ D i s t i n c t   C o u n t   o f   P r o j e c t   N a m e \ T a g I n f o \ V a l u e < / K e y > < / a : K e y > < a : V a l u e   i : t y p e = " M e a s u r e G r i d V i e w S t a t e I D i a g r a m T a g A d d i t i o n a l I n f o " / > < / a : K e y V a l u e O f D i a g r a m O b j e c t K e y a n y T y p e z b w N T n L X > < a : K e y V a l u e O f D i a g r a m O b j e c t K e y a n y T y p e z b w N T n L X > < a : K e y > < K e y > M e a s u r e s \ C o u n t   o f   C u r r e n t   P h a s e < / K e y > < / a : K e y > < a : V a l u e   i : t y p e = " M e a s u r e G r i d N o d e V i e w S t a t e " > < C o l u m n > 7 < / C o l u m n > < L a y e d O u t > t r u e < / L a y e d O u t > < W a s U I I n v i s i b l e > t r u e < / W a s U I I n v i s i b l e > < / a : V a l u e > < / a : K e y V a l u e O f D i a g r a m O b j e c t K e y a n y T y p e z b w N T n L X > < a : K e y V a l u e O f D i a g r a m O b j e c t K e y a n y T y p e z b w N T n L X > < a : K e y > < K e y > M e a s u r e s \ C o u n t   o f   C u r r e n t   P h a s e \ T a g I n f o \ F o r m u l a < / K e y > < / a : K e y > < a : V a l u e   i : t y p e = " M e a s u r e G r i d V i e w S t a t e I D i a g r a m T a g A d d i t i o n a l I n f o " / > < / a : K e y V a l u e O f D i a g r a m O b j e c t K e y a n y T y p e z b w N T n L X > < a : K e y V a l u e O f D i a g r a m O b j e c t K e y a n y T y p e z b w N T n L X > < a : K e y > < K e y > M e a s u r e s \ C o u n t   o f   C u r r e n t   P h a s e \ T a g I n f o \ V a l u e < / K e y > < / a : K e y > < a : V a l u e   i : t y p e = " M e a s u r e G r i d V i e w S t a t e I D i a g r a m T a g A d d i t i o n a l I n f o " / > < / a : K e y V a l u e O f D i a g r a m O b j e c t K e y a n y T y p e z b w N T n L X > < a : K e y V a l u e O f D i a g r a m O b j e c t K e y a n y T y p e z b w N T n L X > < a : K e y > < K e y > M e a s u r e s \ S u m   o f   O v e r a l l   B u d g e t < / K e y > < / a : K e y > < a : V a l u e   i : t y p e = " M e a s u r e G r i d N o d e V i e w S t a t e " > < C o l u m n > 8 < / C o l u m n > < L a y e d O u t > t r u e < / L a y e d O u t > < W a s U I I n v i s i b l e > t r u e < / W a s U I I n v i s i b l e > < / a : V a l u e > < / a : K e y V a l u e O f D i a g r a m O b j e c t K e y a n y T y p e z b w N T n L X > < a : K e y V a l u e O f D i a g r a m O b j e c t K e y a n y T y p e z b w N T n L X > < a : K e y > < K e y > M e a s u r e s \ S u m   o f   O v e r a l l   B u d g e t \ T a g I n f o \ F o r m u l a < / K e y > < / a : K e y > < a : V a l u e   i : t y p e = " M e a s u r e G r i d V i e w S t a t e I D i a g r a m T a g A d d i t i o n a l I n f o " / > < / a : K e y V a l u e O f D i a g r a m O b j e c t K e y a n y T y p e z b w N T n L X > < a : K e y V a l u e O f D i a g r a m O b j e c t K e y a n y T y p e z b w N T n L X > < a : K e y > < K e y > M e a s u r e s \ S u m   o f   O v e r a l l   B u d g e t \ T a g I n f o \ V a l u e < / K e y > < / a : K e y > < a : V a l u e   i : t y p e = " M e a s u r e G r i d V i e w S t a t e I D i a g r a m T a g A d d i t i o n a l I n f o " / > < / a : K e y V a l u e O f D i a g r a m O b j e c t K e y a n y T y p e z b w N T n L X > < a : K e y V a l u e O f D i a g r a m O b j e c t K e y a n y T y p e z b w N T n L X > < a : K e y > < K e y > M e a s u r e s \ S u m   o f   B i d   A m o u n t   2 < / K e y > < / a : K e y > < a : V a l u e   i : t y p e = " M e a s u r e G r i d N o d e V i e w S t a t e " > < C o l u m n > 2 5 < / C o l u m n > < L a y e d O u t > t r u e < / L a y e d O u t > < W a s U I I n v i s i b l e > t r u e < / W a s U I I n v i s i b l e > < / a : V a l u e > < / a : K e y V a l u e O f D i a g r a m O b j e c t K e y a n y T y p e z b w N T n L X > < a : K e y V a l u e O f D i a g r a m O b j e c t K e y a n y T y p e z b w N T n L X > < a : K e y > < K e y > M e a s u r e s \ S u m   o f   B i d   A m o u n t   2 \ T a g I n f o \ F o r m u l a < / K e y > < / a : K e y > < a : V a l u e   i : t y p e = " M e a s u r e G r i d V i e w S t a t e I D i a g r a m T a g A d d i t i o n a l I n f o " / > < / a : K e y V a l u e O f D i a g r a m O b j e c t K e y a n y T y p e z b w N T n L X > < a : K e y V a l u e O f D i a g r a m O b j e c t K e y a n y T y p e z b w N T n L X > < a : K e y > < K e y > M e a s u r e s \ S u m   o f   B i d   A m o u n t   2 \ T a g I n f o \ V a l u e < / K e y > < / a : K e y > < a : V a l u e   i : t y p e = " M e a s u r e G r i d V i e w S t a t e I D i a g r a m T a g A d d i t i o n a l I n f o " / > < / a : K e y V a l u e O f D i a g r a m O b j e c t K e y a n y T y p e z b w N T n L X > < a : K e y V a l u e O f D i a g r a m O b j e c t K e y a n y T y p e z b w N T n L X > < a : K e y > < K e y > M e a s u r e s \ S u m   o f   F i n a l   C o n s t r u c t i o n   C o s t s   2 < / K e y > < / a : K e y > < a : V a l u e   i : t y p e = " M e a s u r e G r i d N o d e V i e w S t a t e " > < C o l u m n > 2 6 < / C o l u m n > < L a y e d O u t > t r u e < / L a y e d O u t > < W a s U I I n v i s i b l e > t r u e < / W a s U I I n v i s i b l e > < / a : V a l u e > < / a : K e y V a l u e O f D i a g r a m O b j e c t K e y a n y T y p e z b w N T n L X > < a : K e y V a l u e O f D i a g r a m O b j e c t K e y a n y T y p e z b w N T n L X > < a : K e y > < K e y > M e a s u r e s \ S u m   o f   F i n a l   C o n s t r u c t i o n   C o s t s   2 \ T a g I n f o \ F o r m u l a < / K e y > < / a : K e y > < a : V a l u e   i : t y p e = " M e a s u r e G r i d V i e w S t a t e I D i a g r a m T a g A d d i t i o n a l I n f o " / > < / a : K e y V a l u e O f D i a g r a m O b j e c t K e y a n y T y p e z b w N T n L X > < a : K e y V a l u e O f D i a g r a m O b j e c t K e y a n y T y p e z b w N T n L X > < a : K e y > < K e y > M e a s u r e s \ S u m   o f   F i n a l   C o n s t r u c t i o n   C o s t s   2 \ T a g I n f o \ V a l u e < / K e y > < / a : K e y > < a : V a l u e   i : t y p e = " M e a s u r e G r i d V i e w S t a t e I D i a g r a m T a g A d d i t i o n a l I n f o " / > < / a : K e y V a l u e O f D i a g r a m O b j e c t K e y a n y T y p e z b w N T n L X > < a : K e y V a l u e O f D i a g r a m O b j e c t K e y a n y T y p e z b w N T n L X > < a : K e y > < K e y > M e a s u r e s \ S u m   o f   T o t a l   A n t i c i p a t e d   C o s t s   2 < / K e y > < / a : K e y > < a : V a l u e   i : t y p e = " M e a s u r e G r i d N o d e V i e w S t a t e " > < C o l u m n > 2 9 < / C o l u m n > < L a y e d O u t > t r u e < / L a y e d O u t > < W a s U I I n v i s i b l e > t r u e < / W a s U I I n v i s i b l e > < / a : V a l u e > < / a : K e y V a l u e O f D i a g r a m O b j e c t K e y a n y T y p e z b w N T n L X > < a : K e y V a l u e O f D i a g r a m O b j e c t K e y a n y T y p e z b w N T n L X > < a : K e y > < K e y > M e a s u r e s \ S u m   o f   T o t a l   A n t i c i p a t e d   C o s t s   2 \ T a g I n f o \ F o r m u l a < / K e y > < / a : K e y > < a : V a l u e   i : t y p e = " M e a s u r e G r i d V i e w S t a t e I D i a g r a m T a g A d d i t i o n a l I n f o " / > < / a : K e y V a l u e O f D i a g r a m O b j e c t K e y a n y T y p e z b w N T n L X > < a : K e y V a l u e O f D i a g r a m O b j e c t K e y a n y T y p e z b w N T n L X > < a : K e y > < K e y > M e a s u r e s \ S u m   o f   T o t a l   A n t i c i p a t e d   C o s t s   2 \ T a g I n f o \ V a l u e < / K e y > < / a : K e y > < a : V a l u e   i : t y p e = " M e a s u r e G r i d V i e w S t a t e I D i a g r a m T a g A d d i t i o n a l I n f o " / > < / a : K e y V a l u e O f D i a g r a m O b j e c t K e y a n y T y p e z b w N T n L X > < a : K e y V a l u e O f D i a g r a m O b j e c t K e y a n y T y p e z b w N T n L X > < a : K e y > < K e y > M e a s u r e s \ S u m   o f   A c t u a l   C o n t r a c t u a l   C o s t s   +   E s t i m a t e d   C O A < / K e y > < / a : K e y > < a : V a l u e   i : t y p e = " M e a s u r e G r i d N o d e V i e w S t a t e " > < C o l u m n > 3 0 < / C o l u m n > < L a y e d O u t > t r u e < / L a y e d O u t > < W a s U I I n v i s i b l e > t r u e < / W a s U I I n v i s i b l e > < / a : V a l u e > < / a : K e y V a l u e O f D i a g r a m O b j e c t K e y a n y T y p e z b w N T n L X > < a : K e y V a l u e O f D i a g r a m O b j e c t K e y a n y T y p e z b w N T n L X > < a : K e y > < K e y > M e a s u r e s \ S u m   o f   A c t u a l   C o n t r a c t u a l   C o s t s   +   E s t i m a t e d   C O A \ T a g I n f o \ F o r m u l a < / K e y > < / a : K e y > < a : V a l u e   i : t y p e = " M e a s u r e G r i d V i e w S t a t e I D i a g r a m T a g A d d i t i o n a l I n f o " / > < / a : K e y V a l u e O f D i a g r a m O b j e c t K e y a n y T y p e z b w N T n L X > < a : K e y V a l u e O f D i a g r a m O b j e c t K e y a n y T y p e z b w N T n L X > < a : K e y > < K e y > M e a s u r e s \ S u m   o f   A c t u a l   C o n t r a c t u a l   C o s t s   +   E s t i m a t e d   C O A \ T a g I n f o \ V a l u e < / K e y > < / a : K e y > < a : V a l u e   i : t y p e = " M e a s u r e G r i d V i e w S t a t e I D i a g r a m T a g A d d i t i o n a l I n f o " / > < / a : K e y V a l u e O f D i a g r a m O b j e c t K e y a n y T y p e z b w N T n L X > < a : K e y V a l u e O f D i a g r a m O b j e c t K e y a n y T y p e z b w N T n L X > < a : K e y > < K e y > M e a s u r e s \ S u m   o f   F u n d   N o . < / K e y > < / a : K e y > < a : V a l u e   i : t y p e = " M e a s u r e G r i d N o d e V i e w S t a t e " > < C o l u m n > 1 < / C o l u m n > < L a y e d O u t > t r u e < / L a y e d O u t > < W a s U I I n v i s i b l e > t r u e < / W a s U I I n v i s i b l e > < / a : V a l u e > < / a : K e y V a l u e O f D i a g r a m O b j e c t K e y a n y T y p e z b w N T n L X > < a : K e y V a l u e O f D i a g r a m O b j e c t K e y a n y T y p e z b w N T n L X > < a : K e y > < K e y > M e a s u r e s \ S u m   o f   F u n d   N o . \ T a g I n f o \ F o r m u l a < / K e y > < / a : K e y > < a : V a l u e   i : t y p e = " M e a s u r e G r i d V i e w S t a t e I D i a g r a m T a g A d d i t i o n a l I n f o " / > < / a : K e y V a l u e O f D i a g r a m O b j e c t K e y a n y T y p e z b w N T n L X > < a : K e y V a l u e O f D i a g r a m O b j e c t K e y a n y T y p e z b w N T n L X > < a : K e y > < K e y > M e a s u r e s \ S u m   o f   F u n d   N o . \ T a g I n f o \ V a l u e < / K e y > < / a : K e y > < a : V a l u e   i : t y p e = " M e a s u r e G r i d V i e w S t a t e I D i a g r a m T a g A d d i t i o n a l I n f o " / > < / a : K e y V a l u e O f D i a g r a m O b j e c t K e y a n y T y p e z b w N T n L X > < a : K e y V a l u e O f D i a g r a m O b j e c t K e y a n y T y p e z b w N T n L X > < a : K e y > < K e y > M e a s u r e s \ S u m   o f   A v a i l a b l e   B a l a n c e   ( 4 / 0 1 / 2 0 2 5 ) < / K e y > < / a : K e y > < a : V a l u e   i : t y p e = " M e a s u r e G r i d N o d e V i e w S t a t e " > < C o l u m n > 3 3 < / C o l u m n > < L a y e d O u t > t r u e < / L a y e d O u t > < W a s U I I n v i s i b l e > t r u e < / W a s U I I n v i s i b l e > < / a : V a l u e > < / a : K e y V a l u e O f D i a g r a m O b j e c t K e y a n y T y p e z b w N T n L X > < a : K e y V a l u e O f D i a g r a m O b j e c t K e y a n y T y p e z b w N T n L X > < a : K e y > < K e y > M e a s u r e s \ S u m   o f   A v a i l a b l e   B a l a n c e   ( 4 / 0 1 / 2 0 2 5 ) \ T a g I n f o \ F o r m u l a < / K e y > < / a : K e y > < a : V a l u e   i : t y p e = " M e a s u r e G r i d V i e w S t a t e I D i a g r a m T a g A d d i t i o n a l I n f o " / > < / a : K e y V a l u e O f D i a g r a m O b j e c t K e y a n y T y p e z b w N T n L X > < a : K e y V a l u e O f D i a g r a m O b j e c t K e y a n y T y p e z b w N T n L X > < a : K e y > < K e y > M e a s u r e s \ S u m   o f   A v a i l a b l e   B a l a n c e   ( 4 / 0 1 / 2 0 2 5 ) \ T a g I n f o \ V a l u e < / K e y > < / a : K e y > < a : V a l u e   i : t y p e = " M e a s u r e G r i d V i e w S t a t e I D i a g r a m T a g A d d i t i o n a l I n f o " / > < / a : K e y V a l u e O f D i a g r a m O b j e c t K e y a n y T y p e z b w N T n L X > < a : K e y V a l u e O f D i a g r a m O b j e c t K e y a n y T y p e z b w N T n L X > < a : K e y > < K e y > M e a s u r e s \ S u m   o f   A c t u a l   C O A   E n g i n e e r i n g   /   A d m i n < / K e y > < / a : K e y > < a : V a l u e   i : t y p e = " M e a s u r e G r i d N o d e V i e w S t a t e " > < C o l u m n > 2 8 < / C o l u m n > < L a y e d O u t > t r u e < / L a y e d O u t > < W a s U I I n v i s i b l e > t r u e < / W a s U I I n v i s i b l e > < / a : V a l u e > < / a : K e y V a l u e O f D i a g r a m O b j e c t K e y a n y T y p e z b w N T n L X > < a : K e y V a l u e O f D i a g r a m O b j e c t K e y a n y T y p e z b w N T n L X > < a : K e y > < K e y > M e a s u r e s \ S u m   o f   A c t u a l   C O A   E n g i n e e r i n g   /   A d m i n \ T a g I n f o \ F o r m u l a < / K e y > < / a : K e y > < a : V a l u e   i : t y p e = " M e a s u r e G r i d V i e w S t a t e I D i a g r a m T a g A d d i t i o n a l I n f o " / > < / a : K e y V a l u e O f D i a g r a m O b j e c t K e y a n y T y p e z b w N T n L X > < a : K e y V a l u e O f D i a g r a m O b j e c t K e y a n y T y p e z b w N T n L X > < a : K e y > < K e y > M e a s u r e s \ S u m   o f   A c t u a l   C O A   E n g i n e e r i n g   /   A d m i n \ T a g I n f o \ V a l u e < / K e y > < / a : K e y > < a : V a l u e   i : t y p e = " M e a s u r e G r i d V i e w S t a t e I D i a g r a m T a g A d d i t i o n a l I n f o " / > < / a : K e y V a l u e O f D i a g r a m O b j e c t K e y a n y T y p e z b w N T n L X > < a : K e y V a l u e O f D i a g r a m O b j e c t K e y a n y T y p e z b w N T n L X > < a : K e y > < K e y > M e a s u r e s \ S u m   o f   E n g i n e e r ' s   E s t < / K e y > < / a : K e y > < a : V a l u e   i : t y p e = " M e a s u r e G r i d N o d e V i e w S t a t e " > < C o l u m n > 2 4 < / C o l u m n > < L a y e d O u t > t r u e < / L a y e d O u t > < W a s U I I n v i s i b l e > t r u e < / W a s U I I n v i s i b l e > < / a : V a l u e > < / a : K e y V a l u e O f D i a g r a m O b j e c t K e y a n y T y p e z b w N T n L X > < a : K e y V a l u e O f D i a g r a m O b j e c t K e y a n y T y p e z b w N T n L X > < a : K e y > < K e y > M e a s u r e s \ S u m   o f   E n g i n e e r ' s   E s t \ T a g I n f o \ F o r m u l a < / K e y > < / a : K e y > < a : V a l u e   i : t y p e = " M e a s u r e G r i d V i e w S t a t e I D i a g r a m T a g A d d i t i o n a l I n f o " / > < / a : K e y V a l u e O f D i a g r a m O b j e c t K e y a n y T y p e z b w N T n L X > < a : K e y V a l u e O f D i a g r a m O b j e c t K e y a n y T y p e z b w N T n L X > < a : K e y > < K e y > M e a s u r e s \ S u m   o f   E n g i n e e r ' s   E s t \ T a g I n f o \ V a l u e < / K e y > < / a : K e y > < a : V a l u e   i : t y p e = " M e a s u r e G r i d V i e w S t a t e I D i a g r a m T a g A d d i t i o n a l I n f o " / > < / a : K e y V a l u e O f D i a g r a m O b j e c t K e y a n y T y p e z b w N T n L X > < a : K e y V a l u e O f D i a g r a m O b j e c t K e y a n y T y p e z b w N T n L X > < a : K e y > < K e y > C o l u m n s \ F i s c a l   Y e a r < / K e y > < / a : K e y > < a : V a l u e   i : t y p e = " M e a s u r e G r i d N o d e V i e w S t a t e " > < L a y e d O u t > t r u e < / L a y e d O u t > < / a : V a l u e > < / a : K e y V a l u e O f D i a g r a m O b j e c t K e y a n y T y p e z b w N T n L X > < a : K e y V a l u e O f D i a g r a m O b j e c t K e y a n y T y p e z b w N T n L X > < a : K e y > < K e y > C o l u m n s \ F u n d   N o . < / K e y > < / a : K e y > < a : V a l u e   i : t y p e = " M e a s u r e G r i d N o d e V i e w S t a t e " > < C o l u m n > 1 < / C o l u m n > < L a y e d O u t > t r u e < / L a y e d O u t > < / a : V a l u e > < / a : K e y V a l u e O f D i a g r a m O b j e c t K e y a n y T y p e z b w N T n L X > < a : K e y V a l u e O f D i a g r a m O b j e c t K e y a n y T y p e z b w N T n L X > < a : K e y > < K e y > C o l u m n s \ F u n d   N a m e < / K e y > < / a : K e y > < a : V a l u e   i : t y p e = " M e a s u r e G r i d N o d e V i e w S t a t e " > < C o l u m n > 2 < / C o l u m n > < L a y e d O u t > t r u e < / L a y e d O u t > < / a : V a l u e > < / a : K e y V a l u e O f D i a g r a m O b j e c t K e y a n y T y p e z b w N T n L X > < a : K e y V a l u e O f D i a g r a m O b j e c t K e y a n y T y p e z b w N T n L X > < a : K e y > < K e y > C o l u m n s \ P r o g r a m < / K e y > < / a : K e y > < a : V a l u e   i : t y p e = " M e a s u r e G r i d N o d e V i e w S t a t e " > < C o l u m n > 3 < / C o l u m n > < L a y e d O u t > t r u e < / L a y e d O u t > < / a : V a l u e > < / a : K e y V a l u e O f D i a g r a m O b j e c t K e y a n y T y p e z b w N T n L X > < a : K e y V a l u e O f D i a g r a m O b j e c t K e y a n y T y p e z b w N T n L X > < a : K e y > < K e y > C o l u m n s \ A c c o u n t   # < / K e y > < / a : K e y > < a : V a l u e   i : t y p e = " M e a s u r e G r i d N o d e V i e w S t a t e " > < C o l u m n > 4 < / C o l u m n > < L a y e d O u t > t r u e < / L a y e d O u t > < / a : V a l u e > < / a : K e y V a l u e O f D i a g r a m O b j e c t K e y a n y T y p e z b w N T n L X > < a : K e y V a l u e O f D i a g r a m O b j e c t K e y a n y T y p e z b w N T n L X > < a : K e y > < K e y > C o l u m n s \ P r o j e c t   T y p e < / K e y > < / a : K e y > < a : V a l u e   i : t y p e = " M e a s u r e G r i d N o d e V i e w S t a t e " > < C o l u m n > 5 < / C o l u m n > < L a y e d O u t > t r u e < / L a y e d O u t > < / a : V a l u e > < / a : K e y V a l u e O f D i a g r a m O b j e c t K e y a n y T y p e z b w N T n L X > < a : K e y V a l u e O f D i a g r a m O b j e c t K e y a n y T y p e z b w N T n L X > < a : K e y > < K e y > C o l u m n s \ P r o j e c t   N a m e < / K e y > < / a : K e y > < a : V a l u e   i : t y p e = " M e a s u r e G r i d N o d e V i e w S t a t e " > < C o l u m n > 6 < / C o l u m n > < L a y e d O u t > t r u e < / L a y e d O u t > < / a : V a l u e > < / a : K e y V a l u e O f D i a g r a m O b j e c t K e y a n y T y p e z b w N T n L X > < a : K e y V a l u e O f D i a g r a m O b j e c t K e y a n y T y p e z b w N T n L X > < a : K e y > < K e y > C o l u m n s \ C u r r e n t   P h a s e < / K e y > < / a : K e y > < a : V a l u e   i : t y p e = " M e a s u r e G r i d N o d e V i e w S t a t e " > < C o l u m n > 7 < / C o l u m n > < L a y e d O u t > t r u e < / L a y e d O u t > < / a : V a l u e > < / a : K e y V a l u e O f D i a g r a m O b j e c t K e y a n y T y p e z b w N T n L X > < a : K e y V a l u e O f D i a g r a m O b j e c t K e y a n y T y p e z b w N T n L X > < a : K e y > < K e y > C o l u m n s \ O v e r a l l   B u d g e t < / K e y > < / a : K e y > < a : V a l u e   i : t y p e = " M e a s u r e G r i d N o d e V i e w S t a t e " > < C o l u m n > 8 < / C o l u m n > < L a y e d O u t > t r u e < / L a y e d O u t > < / a : V a l u e > < / a : K e y V a l u e O f D i a g r a m O b j e c t K e y a n y T y p e z b w N T n L X > < a : K e y V a l u e O f D i a g r a m O b j e c t K e y a n y T y p e z b w N T n L X > < a : K e y > < K e y > C o l u m n s \ C o n s t r u c t i o n   P O   # s < / K e y > < / a : K e y > < a : V a l u e   i : t y p e = " M e a s u r e G r i d N o d e V i e w S t a t e " > < C o l u m n > 9 < / C o l u m n > < L a y e d O u t > t r u e < / L a y e d O u t > < / a : V a l u e > < / a : K e y V a l u e O f D i a g r a m O b j e c t K e y a n y T y p e z b w N T n L X > < a : K e y V a l u e O f D i a g r a m O b j e c t K e y a n y T y p e z b w N T n L X > < a : K e y > < K e y > C o l u m n s \ D e s i g n   E n g i n e e r < / K e y > < / a : K e y > < a : V a l u e   i : t y p e = " M e a s u r e G r i d N o d e V i e w S t a t e " > < C o l u m n > 1 0 < / C o l u m n > < L a y e d O u t > t r u e < / L a y e d O u t > < / a : V a l u e > < / a : K e y V a l u e O f D i a g r a m O b j e c t K e y a n y T y p e z b w N T n L X > < a : K e y V a l u e O f D i a g r a m O b j e c t K e y a n y T y p e z b w N T n L X > < a : K e y > < K e y > C o l u m n s \ P r o f e s s i o n a l   S e r v i c e   A g r e e m e n t   ( P S A )   A m o u n t < / K e y > < / a : K e y > < a : V a l u e   i : t y p e = " M e a s u r e G r i d N o d e V i e w S t a t e " > < C o l u m n > 1 1 < / C o l u m n > < L a y e d O u t > t r u e < / L a y e d O u t > < / a : V a l u e > < / a : K e y V a l u e O f D i a g r a m O b j e c t K e y a n y T y p e z b w N T n L X > < a : K e y V a l u e O f D i a g r a m O b j e c t K e y a n y T y p e z b w N T n L X > < a : K e y > < K e y > C o l u m n s \ A c t u a l   P S A   S p e n t < / K e y > < / a : K e y > < a : V a l u e   i : t y p e = " M e a s u r e G r i d N o d e V i e w S t a t e " > < C o l u m n > 1 2 < / C o l u m n > < L a y e d O u t > t r u e < / L a y e d O u t > < / a : V a l u e > < / a : K e y V a l u e O f D i a g r a m O b j e c t K e y a n y T y p e z b w N T n L X > < a : K e y V a l u e O f D i a g r a m O b j e c t K e y a n y T y p e z b w N T n L X > < a : K e y > < K e y > C o l u m n s \ F i s c a l   Y e a r   D e s i g n   C o m p l e t e < / K e y > < / a : K e y > < a : V a l u e   i : t y p e = " M e a s u r e G r i d N o d e V i e w S t a t e " > < C o l u m n > 1 3 < / C o l u m n > < L a y e d O u t > t r u e < / L a y e d O u t > < / a : V a l u e > < / a : K e y V a l u e O f D i a g r a m O b j e c t K e y a n y T y p e z b w N T n L X > < a : K e y V a l u e O f D i a g r a m O b j e c t K e y a n y T y p e z b w N T n L X > < a : K e y > < K e y > C o l u m n s \ F i s c a l   Y e a r   B i d < / K e y > < / a : K e y > < a : V a l u e   i : t y p e = " M e a s u r e G r i d N o d e V i e w S t a t e " > < C o l u m n > 1 4 < / C o l u m n > < L a y e d O u t > t r u e < / L a y e d O u t > < / a : V a l u e > < / a : K e y V a l u e O f D i a g r a m O b j e c t K e y a n y T y p e z b w N T n L X > < a : K e y V a l u e O f D i a g r a m O b j e c t K e y a n y T y p e z b w N T n L X > < a : K e y > < K e y > C o l u m n s \ C o n s t r u c t i o n   S t a r t   D a t e < / K e y > < / a : K e y > < a : V a l u e   i : t y p e = " M e a s u r e G r i d N o d e V i e w S t a t e " > < C o l u m n > 1 5 < / C o l u m n > < L a y e d O u t > t r u e < / L a y e d O u t > < / a : V a l u e > < / a : K e y V a l u e O f D i a g r a m O b j e c t K e y a n y T y p e z b w N T n L X > < a : K e y V a l u e O f D i a g r a m O b j e c t K e y a n y T y p e z b w N T n L X > < a : K e y > < K e y > C o l u m n s \ C o n s t r u c t i o n   C o m p l e t i o n   D a t e < / K e y > < / a : K e y > < a : V a l u e   i : t y p e = " M e a s u r e G r i d N o d e V i e w S t a t e " > < C o l u m n > 1 6 < / C o l u m n > < L a y e d O u t > t r u e < / L a y e d O u t > < / a : V a l u e > < / a : K e y V a l u e O f D i a g r a m O b j e c t K e y a n y T y p e z b w N T n L X > < a : K e y V a l u e O f D i a g r a m O b j e c t K e y a n y T y p e z b w N T n L X > < a : K e y > < K e y > C o l u m n s \ F i s c a l   Y e a r   C o n s t r u c t i o n   C o m p l e t e d < / K e y > < / a : K e y > < a : V a l u e   i : t y p e = " M e a s u r e G r i d N o d e V i e w S t a t e " > < C o l u m n > 1 7 < / C o l u m n > < L a y e d O u t > t r u e < / L a y e d O u t > < / a : V a l u e > < / a : K e y V a l u e O f D i a g r a m O b j e c t K e y a n y T y p e z b w N T n L X > < a : K e y V a l u e O f D i a g r a m O b j e c t K e y a n y T y p e z b w N T n L X > < a : K e y > < K e y > C o l u m n s \ P l a n n e d   C o n s t r u c t i o n   C o m p l e t i o n   D a t e < / K e y > < / a : K e y > < a : V a l u e   i : t y p e = " M e a s u r e G r i d N o d e V i e w S t a t e " > < C o l u m n > 1 8 < / C o l u m n > < L a y e d O u t > t r u e < / L a y e d O u t > < / a : V a l u e > < / a : K e y V a l u e O f D i a g r a m O b j e c t K e y a n y T y p e z b w N T n L X > < a : K e y V a l u e O f D i a g r a m O b j e c t K e y a n y T y p e z b w N T n L X > < a : K e y > < K e y > C o l u m n s \ I n s p e c t o r < / K e y > < / a : K e y > < a : V a l u e   i : t y p e = " M e a s u r e G r i d N o d e V i e w S t a t e " > < C o l u m n > 1 9 < / C o l u m n > < L a y e d O u t > t r u e < / L a y e d O u t > < / a : V a l u e > < / a : K e y V a l u e O f D i a g r a m O b j e c t K e y a n y T y p e z b w N T n L X > < a : K e y V a l u e O f D i a g r a m O b j e c t K e y a n y T y p e z b w N T n L X > < a : K e y > < K e y > C o l u m n s \ P r o j e c t   E n g i n e e r < / K e y > < / a : K e y > < a : V a l u e   i : t y p e = " M e a s u r e G r i d N o d e V i e w S t a t e " > < C o l u m n > 2 0 < / C o l u m n > < L a y e d O u t > t r u e < / L a y e d O u t > < / a : V a l u e > < / a : K e y V a l u e O f D i a g r a m O b j e c t K e y a n y T y p e z b w N T n L X > < a : K e y V a l u e O f D i a g r a m O b j e c t K e y a n y T y p e z b w N T n L X > < a : K e y > < K e y > C o l u m n s \ C o n t r a c t o r < / K e y > < / a : K e y > < a : V a l u e   i : t y p e = " M e a s u r e G r i d N o d e V i e w S t a t e " > < C o l u m n > 2 1 < / C o l u m n > < L a y e d O u t > t r u e < / L a y e d O u t > < / a : V a l u e > < / a : K e y V a l u e O f D i a g r a m O b j e c t K e y a n y T y p e z b w N T n L X > < a : K e y V a l u e O f D i a g r a m O b j e c t K e y a n y T y p e z b w N T n L X > < a : K e y > < K e y > C o l u m n s \ I D O T < / K e y > < / a : K e y > < a : V a l u e   i : t y p e = " M e a s u r e G r i d N o d e V i e w S t a t e " > < C o l u m n > 2 2 < / C o l u m n > < L a y e d O u t > t r u e < / L a y e d O u t > < / a : V a l u e > < / a : K e y V a l u e O f D i a g r a m O b j e c t K e y a n y T y p e z b w N T n L X > < a : K e y V a l u e O f D i a g r a m O b j e c t K e y a n y T y p e z b w N T n L X > < a : K e y > < K e y > C o l u m n s \ M P O   S T B G   F u n d s < / K e y > < / a : K e y > < a : V a l u e   i : t y p e = " M e a s u r e G r i d N o d e V i e w S t a t e " > < C o l u m n > 2 3 < / C o l u m n > < L a y e d O u t > t r u e < / L a y e d O u t > < / a : V a l u e > < / a : K e y V a l u e O f D i a g r a m O b j e c t K e y a n y T y p e z b w N T n L X > < a : K e y V a l u e O f D i a g r a m O b j e c t K e y a n y T y p e z b w N T n L X > < a : K e y > < K e y > C o l u m n s \ E n g i n e e r ' s   E s t < / K e y > < / a : K e y > < a : V a l u e   i : t y p e = " M e a s u r e G r i d N o d e V i e w S t a t e " > < C o l u m n > 2 4 < / C o l u m n > < L a y e d O u t > t r u e < / L a y e d O u t > < / a : V a l u e > < / a : K e y V a l u e O f D i a g r a m O b j e c t K e y a n y T y p e z b w N T n L X > < a : K e y V a l u e O f D i a g r a m O b j e c t K e y a n y T y p e z b w N T n L X > < a : K e y > < K e y > C o l u m n s \ B i d   A m o u n t < / K e y > < / a : K e y > < a : V a l u e   i : t y p e = " M e a s u r e G r i d N o d e V i e w S t a t e " > < C o l u m n > 2 5 < / C o l u m n > < L a y e d O u t > t r u e < / L a y e d O u t > < / a : V a l u e > < / a : K e y V a l u e O f D i a g r a m O b j e c t K e y a n y T y p e z b w N T n L X > < a : K e y V a l u e O f D i a g r a m O b j e c t K e y a n y T y p e z b w N T n L X > < a : K e y > < K e y > C o l u m n s \ F i n a l   C o n s t r u c t i o n   C o s t s < / K e y > < / a : K e y > < a : V a l u e   i : t y p e = " M e a s u r e G r i d N o d e V i e w S t a t e " > < C o l u m n > 2 6 < / C o l u m n > < L a y e d O u t > t r u e < / L a y e d O u t > < / a : V a l u e > < / a : K e y V a l u e O f D i a g r a m O b j e c t K e y a n y T y p e z b w N T n L X > < a : K e y V a l u e O f D i a g r a m O b j e c t K e y a n y T y p e z b w N T n L X > < a : K e y > < K e y > C o l u m n s \ E s t i m a t e d   C O A   E n g i n e e r i n g   /     A d m i n < / K e y > < / a : K e y > < a : V a l u e   i : t y p e = " M e a s u r e G r i d N o d e V i e w S t a t e " > < C o l u m n > 2 7 < / C o l u m n > < L a y e d O u t > t r u e < / L a y e d O u t > < / a : V a l u e > < / a : K e y V a l u e O f D i a g r a m O b j e c t K e y a n y T y p e z b w N T n L X > < a : K e y V a l u e O f D i a g r a m O b j e c t K e y a n y T y p e z b w N T n L X > < a : K e y > < K e y > C o l u m n s \ A c t u a l   C O A   E n g i n e e r i n g   /   A d m i n < / K e y > < / a : K e y > < a : V a l u e   i : t y p e = " M e a s u r e G r i d N o d e V i e w S t a t e " > < C o l u m n > 2 8 < / C o l u m n > < L a y e d O u t > t r u e < / L a y e d O u t > < / a : V a l u e > < / a : K e y V a l u e O f D i a g r a m O b j e c t K e y a n y T y p e z b w N T n L X > < a : K e y V a l u e O f D i a g r a m O b j e c t K e y a n y T y p e z b w N T n L X > < a : K e y > < K e y > C o l u m n s \ T o t a l   A n t i c i p a t e d   C o s t s < / K e y > < / a : K e y > < a : V a l u e   i : t y p e = " M e a s u r e G r i d N o d e V i e w S t a t e " > < C o l u m n > 2 9 < / C o l u m n > < L a y e d O u t > t r u e < / L a y e d O u t > < / a : V a l u e > < / a : K e y V a l u e O f D i a g r a m O b j e c t K e y a n y T y p e z b w N T n L X > < a : K e y V a l u e O f D i a g r a m O b j e c t K e y a n y T y p e z b w N T n L X > < a : K e y > < K e y > C o l u m n s \ A c t u a l   C o n t r a c t u a l   C o s t s   +   E s t i m a t e d   C O A < / K e y > < / a : K e y > < a : V a l u e   i : t y p e = " M e a s u r e G r i d N o d e V i e w S t a t e " > < C o l u m n > 3 0 < / C o l u m n > < L a y e d O u t > t r u e < / L a y e d O u t > < / a : V a l u e > < / a : K e y V a l u e O f D i a g r a m O b j e c t K e y a n y T y p e z b w N T n L X > < a : K e y V a l u e O f D i a g r a m O b j e c t K e y a n y T y p e z b w N T n L X > < a : K e y > < K e y > C o l u m n s \ R e m a i n i n g   B u d g e t   ( I - A D ) < / K e y > < / a : K e y > < a : V a l u e   i : t y p e = " M e a s u r e G r i d N o d e V i e w S t a t e " > < C o l u m n > 3 1 < / C o l u m n > < L a y e d O u t > t r u e < / L a y e d O u t > < / a : V a l u e > < / a : K e y V a l u e O f D i a g r a m O b j e c t K e y a n y T y p e z b w N T n L X > < a : K e y V a l u e O f D i a g r a m O b j e c t K e y a n y T y p e z b w N T n L X > < a : K e y > < K e y > C o l u m n s \ N P D E S   P e r m i t < / K e y > < / a : K e y > < a : V a l u e   i : t y p e = " M e a s u r e G r i d N o d e V i e w S t a t e " > < C o l u m n > 3 2 < / C o l u m n > < L a y e d O u t > t r u e < / L a y e d O u t > < / a : V a l u e > < / a : K e y V a l u e O f D i a g r a m O b j e c t K e y a n y T y p e z b w N T n L X > < a : K e y V a l u e O f D i a g r a m O b j e c t K e y a n y T y p e z b w N T n L X > < a : K e y > < K e y > C o l u m n s \ A v a i l a b l e   B a l a n c e   ( 4 / 0 1 / 2 0 2 5 ) < / K e y > < / a : K e y > < a : V a l u e   i : t y p e = " M e a s u r e G r i d N o d e V i e w S t a t e " > < C o l u m n > 3 3 < / C o l u m n > < L a y e d O u t > t r u e < / L a y e d O u t > < / a : V a l u e > < / a : K e y V a l u e O f D i a g r a m O b j e c t K e y a n y T y p e z b w N T n L X > < a : K e y V a l u e O f D i a g r a m O b j e c t K e y a n y T y p e z b w N T n L X > < a : K e y > < K e y > C o l u m n s \ R F P < / K e y > < / a : K e y > < a : V a l u e   i : t y p e = " M e a s u r e G r i d N o d e V i e w S t a t e " > < C o l u m n > 3 4 < / C o l u m n > < L a y e d O u t > t r u e < / L a y e d O u t > < / a : V a l u e > < / a : K e y V a l u e O f D i a g r a m O b j e c t K e y a n y T y p e z b w N T n L X > < a : K e y V a l u e O f D i a g r a m O b j e c t K e y a n y T y p e z b w N T n L X > < a : K e y > < K e y > C o l u m n s \ N o t e s < / K e y > < / a : K e y > < a : V a l u e   i : t y p e = " M e a s u r e G r i d N o d e V i e w S t a t e " > < C o l u m n > 3 5 < / C o l u m n > < L a y e d O u t > t r u e < / L a y e d O u t > < / a : V a l u e > < / a : K e y V a l u e O f D i a g r a m O b j e c t K e y a n y T y p e z b w N T n L X > < a : K e y V a l u e O f D i a g r a m O b j e c t K e y a n y T y p e z b w N T n L X > < a : K e y > < K e y > L i n k s \ & l t ; C o l u m n s \ C o u n t   o f   P r o j e c t   N a m e & g t ; - & l t ; M e a s u r e s \ P r o j e c t   N a m e & g t ; < / K e y > < / a : K e y > < a : V a l u e   i : t y p e = " M e a s u r e G r i d V i e w S t a t e I D i a g r a m L i n k " / > < / a : K e y V a l u e O f D i a g r a m O b j e c t K e y a n y T y p e z b w N T n L X > < a : K e y V a l u e O f D i a g r a m O b j e c t K e y a n y T y p e z b w N T n L X > < a : K e y > < K e y > L i n k s \ & l t ; C o l u m n s \ C o u n t   o f   P r o j e c t   N a m e & g t ; - & l t ; M e a s u r e s \ P r o j e c t   N a m e & g t ; \ C O L U M N < / K e y > < / a : K e y > < a : V a l u e   i : t y p e = " M e a s u r e G r i d V i e w S t a t e I D i a g r a m L i n k E n d p o i n t " / > < / a : K e y V a l u e O f D i a g r a m O b j e c t K e y a n y T y p e z b w N T n L X > < a : K e y V a l u e O f D i a g r a m O b j e c t K e y a n y T y p e z b w N T n L X > < a : K e y > < K e y > L i n k s \ & l t ; C o l u m n s \ C o u n t   o f   P r o j e c t   N a m e & g t ; - & l t ; M e a s u r e s \ P r o j e c t   N a m e & g t ; \ M E A S U R E < / K e y > < / a : K e y > < a : V a l u e   i : t y p e = " M e a s u r e G r i d V i e w S t a t e I D i a g r a m L i n k E n d p o i n t " / > < / a : K e y V a l u e O f D i a g r a m O b j e c t K e y a n y T y p e z b w N T n L X > < a : K e y V a l u e O f D i a g r a m O b j e c t K e y a n y T y p e z b w N T n L X > < a : K e y > < K e y > L i n k s \ & l t ; C o l u m n s \ D i s t i n c t   C o u n t   o f   P r o j e c t   N a m e & g t ; - & l t ; M e a s u r e s \ P r o j e c t   N a m e & g t ; < / K e y > < / a : K e y > < a : V a l u e   i : t y p e = " M e a s u r e G r i d V i e w S t a t e I D i a g r a m L i n k " / > < / a : K e y V a l u e O f D i a g r a m O b j e c t K e y a n y T y p e z b w N T n L X > < a : K e y V a l u e O f D i a g r a m O b j e c t K e y a n y T y p e z b w N T n L X > < a : K e y > < K e y > L i n k s \ & l t ; C o l u m n s \ D i s t i n c t   C o u n t   o f   P r o j e c t   N a m e & g t ; - & l t ; M e a s u r e s \ P r o j e c t   N a m e & g t ; \ C O L U M N < / K e y > < / a : K e y > < a : V a l u e   i : t y p e = " M e a s u r e G r i d V i e w S t a t e I D i a g r a m L i n k E n d p o i n t " / > < / a : K e y V a l u e O f D i a g r a m O b j e c t K e y a n y T y p e z b w N T n L X > < a : K e y V a l u e O f D i a g r a m O b j e c t K e y a n y T y p e z b w N T n L X > < a : K e y > < K e y > L i n k s \ & l t ; C o l u m n s \ D i s t i n c t   C o u n t   o f   P r o j e c t   N a m e & g t ; - & l t ; M e a s u r e s \ P r o j e c t   N a m e & g t ; \ M E A S U R E < / K e y > < / a : K e y > < a : V a l u e   i : t y p e = " M e a s u r e G r i d V i e w S t a t e I D i a g r a m L i n k E n d p o i n t " / > < / a : K e y V a l u e O f D i a g r a m O b j e c t K e y a n y T y p e z b w N T n L X > < a : K e y V a l u e O f D i a g r a m O b j e c t K e y a n y T y p e z b w N T n L X > < a : K e y > < K e y > L i n k s \ & l t ; C o l u m n s \ C o u n t   o f   C u r r e n t   P h a s e & g t ; - & l t ; M e a s u r e s \ C u r r e n t   P h a s e & g t ; < / K e y > < / a : K e y > < a : V a l u e   i : t y p e = " M e a s u r e G r i d V i e w S t a t e I D i a g r a m L i n k " / > < / a : K e y V a l u e O f D i a g r a m O b j e c t K e y a n y T y p e z b w N T n L X > < a : K e y V a l u e O f D i a g r a m O b j e c t K e y a n y T y p e z b w N T n L X > < a : K e y > < K e y > L i n k s \ & l t ; C o l u m n s \ C o u n t   o f   C u r r e n t   P h a s e & g t ; - & l t ; M e a s u r e s \ C u r r e n t   P h a s e & g t ; \ C O L U M N < / K e y > < / a : K e y > < a : V a l u e   i : t y p e = " M e a s u r e G r i d V i e w S t a t e I D i a g r a m L i n k E n d p o i n t " / > < / a : K e y V a l u e O f D i a g r a m O b j e c t K e y a n y T y p e z b w N T n L X > < a : K e y V a l u e O f D i a g r a m O b j e c t K e y a n y T y p e z b w N T n L X > < a : K e y > < K e y > L i n k s \ & l t ; C o l u m n s \ C o u n t   o f   C u r r e n t   P h a s e & g t ; - & l t ; M e a s u r e s \ C u r r e n t   P h a s e & g t ; \ M E A S U R E < / K e y > < / a : K e y > < a : V a l u e   i : t y p e = " M e a s u r e G r i d V i e w S t a t e I D i a g r a m L i n k E n d p o i n t " / > < / a : K e y V a l u e O f D i a g r a m O b j e c t K e y a n y T y p e z b w N T n L X > < a : K e y V a l u e O f D i a g r a m O b j e c t K e y a n y T y p e z b w N T n L X > < a : K e y > < K e y > L i n k s \ & l t ; C o l u m n s \ S u m   o f   O v e r a l l   B u d g e t & g t ; - & l t ; M e a s u r e s \ O v e r a l l   B u d g e t & g t ; < / K e y > < / a : K e y > < a : V a l u e   i : t y p e = " M e a s u r e G r i d V i e w S t a t e I D i a g r a m L i n k " / > < / a : K e y V a l u e O f D i a g r a m O b j e c t K e y a n y T y p e z b w N T n L X > < a : K e y V a l u e O f D i a g r a m O b j e c t K e y a n y T y p e z b w N T n L X > < a : K e y > < K e y > L i n k s \ & l t ; C o l u m n s \ S u m   o f   O v e r a l l   B u d g e t & g t ; - & l t ; M e a s u r e s \ O v e r a l l   B u d g e t & g t ; \ C O L U M N < / K e y > < / a : K e y > < a : V a l u e   i : t y p e = " M e a s u r e G r i d V i e w S t a t e I D i a g r a m L i n k E n d p o i n t " / > < / a : K e y V a l u e O f D i a g r a m O b j e c t K e y a n y T y p e z b w N T n L X > < a : K e y V a l u e O f D i a g r a m O b j e c t K e y a n y T y p e z b w N T n L X > < a : K e y > < K e y > L i n k s \ & l t ; C o l u m n s \ S u m   o f   O v e r a l l   B u d g e t & g t ; - & l t ; M e a s u r e s \ O v e r a l l   B u d g e t & g t ; \ M E A S U R E < / K e y > < / a : K e y > < a : V a l u e   i : t y p e = " M e a s u r e G r i d V i e w S t a t e I D i a g r a m L i n k E n d p o i n t " / > < / a : K e y V a l u e O f D i a g r a m O b j e c t K e y a n y T y p e z b w N T n L X > < a : K e y V a l u e O f D i a g r a m O b j e c t K e y a n y T y p e z b w N T n L X > < a : K e y > < K e y > L i n k s \ & l t ; C o l u m n s \ S u m   o f   B i d   A m o u n t   2 & g t ; - & l t ; M e a s u r e s \ B i d   A m o u n t & g t ; < / K e y > < / a : K e y > < a : V a l u e   i : t y p e = " M e a s u r e G r i d V i e w S t a t e I D i a g r a m L i n k " / > < / a : K e y V a l u e O f D i a g r a m O b j e c t K e y a n y T y p e z b w N T n L X > < a : K e y V a l u e O f D i a g r a m O b j e c t K e y a n y T y p e z b w N T n L X > < a : K e y > < K e y > L i n k s \ & l t ; C o l u m n s \ S u m   o f   B i d   A m o u n t   2 & g t ; - & l t ; M e a s u r e s \ B i d   A m o u n t & g t ; \ C O L U M N < / K e y > < / a : K e y > < a : V a l u e   i : t y p e = " M e a s u r e G r i d V i e w S t a t e I D i a g r a m L i n k E n d p o i n t " / > < / a : K e y V a l u e O f D i a g r a m O b j e c t K e y a n y T y p e z b w N T n L X > < a : K e y V a l u e O f D i a g r a m O b j e c t K e y a n y T y p e z b w N T n L X > < a : K e y > < K e y > L i n k s \ & l t ; C o l u m n s \ S u m   o f   B i d   A m o u n t   2 & g t ; - & l t ; M e a s u r e s \ B i d   A m o u n t & g t ; \ M E A S U R E < / K e y > < / a : K e y > < a : V a l u e   i : t y p e = " M e a s u r e G r i d V i e w S t a t e I D i a g r a m L i n k E n d p o i n t " / > < / a : K e y V a l u e O f D i a g r a m O b j e c t K e y a n y T y p e z b w N T n L X > < a : K e y V a l u e O f D i a g r a m O b j e c t K e y a n y T y p e z b w N T n L X > < a : K e y > < K e y > L i n k s \ & l t ; C o l u m n s \ S u m   o f   F i n a l   C o n s t r u c t i o n   C o s t s   2 & g t ; - & l t ; M e a s u r e s \ F i n a l   C o n s t r u c t i o n   C o s t s & g t ; < / K e y > < / a : K e y > < a : V a l u e   i : t y p e = " M e a s u r e G r i d V i e w S t a t e I D i a g r a m L i n k " / > < / a : K e y V a l u e O f D i a g r a m O b j e c t K e y a n y T y p e z b w N T n L X > < a : K e y V a l u e O f D i a g r a m O b j e c t K e y a n y T y p e z b w N T n L X > < a : K e y > < K e y > L i n k s \ & l t ; C o l u m n s \ S u m   o f   F i n a l   C o n s t r u c t i o n   C o s t s   2 & g t ; - & l t ; M e a s u r e s \ F i n a l   C o n s t r u c t i o n   C o s t s & g t ; \ C O L U M N < / K e y > < / a : K e y > < a : V a l u e   i : t y p e = " M e a s u r e G r i d V i e w S t a t e I D i a g r a m L i n k E n d p o i n t " / > < / a : K e y V a l u e O f D i a g r a m O b j e c t K e y a n y T y p e z b w N T n L X > < a : K e y V a l u e O f D i a g r a m O b j e c t K e y a n y T y p e z b w N T n L X > < a : K e y > < K e y > L i n k s \ & l t ; C o l u m n s \ S u m   o f   F i n a l   C o n s t r u c t i o n   C o s t s   2 & g t ; - & l t ; M e a s u r e s \ F i n a l   C o n s t r u c t i o n   C o s t s & g t ; \ M E A S U R E < / K e y > < / a : K e y > < a : V a l u e   i : t y p e = " M e a s u r e G r i d V i e w S t a t e I D i a g r a m L i n k E n d p o i n t " / > < / a : K e y V a l u e O f D i a g r a m O b j e c t K e y a n y T y p e z b w N T n L X > < a : K e y V a l u e O f D i a g r a m O b j e c t K e y a n y T y p e z b w N T n L X > < a : K e y > < K e y > L i n k s \ & l t ; C o l u m n s \ S u m   o f   T o t a l   A n t i c i p a t e d   C o s t s   2 & g t ; - & l t ; M e a s u r e s \ T o t a l   A n t i c i p a t e d   C o s t s & g t ; < / K e y > < / a : K e y > < a : V a l u e   i : t y p e = " M e a s u r e G r i d V i e w S t a t e I D i a g r a m L i n k " / > < / a : K e y V a l u e O f D i a g r a m O b j e c t K e y a n y T y p e z b w N T n L X > < a : K e y V a l u e O f D i a g r a m O b j e c t K e y a n y T y p e z b w N T n L X > < a : K e y > < K e y > L i n k s \ & l t ; C o l u m n s \ S u m   o f   T o t a l   A n t i c i p a t e d   C o s t s   2 & g t ; - & l t ; M e a s u r e s \ T o t a l   A n t i c i p a t e d   C o s t s & g t ; \ C O L U M N < / K e y > < / a : K e y > < a : V a l u e   i : t y p e = " M e a s u r e G r i d V i e w S t a t e I D i a g r a m L i n k E n d p o i n t " / > < / a : K e y V a l u e O f D i a g r a m O b j e c t K e y a n y T y p e z b w N T n L X > < a : K e y V a l u e O f D i a g r a m O b j e c t K e y a n y T y p e z b w N T n L X > < a : K e y > < K e y > L i n k s \ & l t ; C o l u m n s \ S u m   o f   T o t a l   A n t i c i p a t e d   C o s t s   2 & g t ; - & l t ; M e a s u r e s \ T o t a l   A n t i c i p a t e d   C o s t s & g t ; \ M E A S U R E < / K e y > < / a : K e y > < a : V a l u e   i : t y p e = " M e a s u r e G r i d V i e w S t a t e I D i a g r a m L i n k E n d p o i n t " / > < / a : K e y V a l u e O f D i a g r a m O b j e c t K e y a n y T y p e z b w N T n L X > < a : K e y V a l u e O f D i a g r a m O b j e c t K e y a n y T y p e z b w N T n L X > < a : K e y > < K e y > L i n k s \ & l t ; C o l u m n s \ S u m   o f   A c t u a l   C o n t r a c t u a l   C o s t s   +   E s t i m a t e d   C O A & g t ; - & l t ; M e a s u r e s \ A c t u a l   C o n t r a c t u a l   C o s t s   +   E s t i m a t e d   C O A & g t ; < / K e y > < / a : K e y > < a : V a l u e   i : t y p e = " M e a s u r e G r i d V i e w S t a t e I D i a g r a m L i n k " / > < / a : K e y V a l u e O f D i a g r a m O b j e c t K e y a n y T y p e z b w N T n L X > < a : K e y V a l u e O f D i a g r a m O b j e c t K e y a n y T y p e z b w N T n L X > < a : K e y > < K e y > L i n k s \ & l t ; C o l u m n s \ S u m   o f   A c t u a l   C o n t r a c t u a l   C o s t s   +   E s t i m a t e d   C O A & g t ; - & l t ; M e a s u r e s \ A c t u a l   C o n t r a c t u a l   C o s t s   +   E s t i m a t e d   C O A & g t ; \ C O L U M N < / K e y > < / a : K e y > < a : V a l u e   i : t y p e = " M e a s u r e G r i d V i e w S t a t e I D i a g r a m L i n k E n d p o i n t " / > < / a : K e y V a l u e O f D i a g r a m O b j e c t K e y a n y T y p e z b w N T n L X > < a : K e y V a l u e O f D i a g r a m O b j e c t K e y a n y T y p e z b w N T n L X > < a : K e y > < K e y > L i n k s \ & l t ; C o l u m n s \ S u m   o f   A c t u a l   C o n t r a c t u a l   C o s t s   +   E s t i m a t e d   C O A & g t ; - & l t ; M e a s u r e s \ A c t u a l   C o n t r a c t u a l   C o s t s   +   E s t i m a t e d   C O A & g t ; \ M E A S U R E < / K e y > < / a : K e y > < a : V a l u e   i : t y p e = " M e a s u r e G r i d V i e w S t a t e I D i a g r a m L i n k E n d p o i n t " / > < / a : K e y V a l u e O f D i a g r a m O b j e c t K e y a n y T y p e z b w N T n L X > < a : K e y V a l u e O f D i a g r a m O b j e c t K e y a n y T y p e z b w N T n L X > < a : K e y > < K e y > L i n k s \ & l t ; C o l u m n s \ S u m   o f   F u n d   N o . & g t ; - & l t ; M e a s u r e s \ F u n d   N o . & g t ; < / K e y > < / a : K e y > < a : V a l u e   i : t y p e = " M e a s u r e G r i d V i e w S t a t e I D i a g r a m L i n k " / > < / a : K e y V a l u e O f D i a g r a m O b j e c t K e y a n y T y p e z b w N T n L X > < a : K e y V a l u e O f D i a g r a m O b j e c t K e y a n y T y p e z b w N T n L X > < a : K e y > < K e y > L i n k s \ & l t ; C o l u m n s \ S u m   o f   F u n d   N o . & g t ; - & l t ; M e a s u r e s \ F u n d   N o . & g t ; \ C O L U M N < / K e y > < / a : K e y > < a : V a l u e   i : t y p e = " M e a s u r e G r i d V i e w S t a t e I D i a g r a m L i n k E n d p o i n t " / > < / a : K e y V a l u e O f D i a g r a m O b j e c t K e y a n y T y p e z b w N T n L X > < a : K e y V a l u e O f D i a g r a m O b j e c t K e y a n y T y p e z b w N T n L X > < a : K e y > < K e y > L i n k s \ & l t ; C o l u m n s \ S u m   o f   F u n d   N o . & g t ; - & l t ; M e a s u r e s \ F u n d   N o . & g t ; \ M E A S U R E < / K e y > < / a : K e y > < a : V a l u e   i : t y p e = " M e a s u r e G r i d V i e w S t a t e I D i a g r a m L i n k E n d p o i n t " / > < / a : K e y V a l u e O f D i a g r a m O b j e c t K e y a n y T y p e z b w N T n L X > < a : K e y V a l u e O f D i a g r a m O b j e c t K e y a n y T y p e z b w N T n L X > < a : K e y > < K e y > L i n k s \ & l t ; C o l u m n s \ S u m   o f   A v a i l a b l e   B a l a n c e   ( 4 / 0 1 / 2 0 2 5 ) & g t ; - & l t ; M e a s u r e s \ A v a i l a b l e   B a l a n c e   ( 4 / 0 1 / 2 0 2 5 ) & g t ; < / K e y > < / a : K e y > < a : V a l u e   i : t y p e = " M e a s u r e G r i d V i e w S t a t e I D i a g r a m L i n k " / > < / a : K e y V a l u e O f D i a g r a m O b j e c t K e y a n y T y p e z b w N T n L X > < a : K e y V a l u e O f D i a g r a m O b j e c t K e y a n y T y p e z b w N T n L X > < a : K e y > < K e y > L i n k s \ & l t ; C o l u m n s \ S u m   o f   A v a i l a b l e   B a l a n c e   ( 4 / 0 1 / 2 0 2 5 ) & g t ; - & l t ; M e a s u r e s \ A v a i l a b l e   B a l a n c e   ( 4 / 0 1 / 2 0 2 5 ) & g t ; \ C O L U M N < / K e y > < / a : K e y > < a : V a l u e   i : t y p e = " M e a s u r e G r i d V i e w S t a t e I D i a g r a m L i n k E n d p o i n t " / > < / a : K e y V a l u e O f D i a g r a m O b j e c t K e y a n y T y p e z b w N T n L X > < a : K e y V a l u e O f D i a g r a m O b j e c t K e y a n y T y p e z b w N T n L X > < a : K e y > < K e y > L i n k s \ & l t ; C o l u m n s \ S u m   o f   A v a i l a b l e   B a l a n c e   ( 4 / 0 1 / 2 0 2 5 ) & g t ; - & l t ; M e a s u r e s \ A v a i l a b l e   B a l a n c e   ( 4 / 0 1 / 2 0 2 5 ) & g t ; \ M E A S U R E < / K e y > < / a : K e y > < a : V a l u e   i : t y p e = " M e a s u r e G r i d V i e w S t a t e I D i a g r a m L i n k E n d p o i n t " / > < / a : K e y V a l u e O f D i a g r a m O b j e c t K e y a n y T y p e z b w N T n L X > < a : K e y V a l u e O f D i a g r a m O b j e c t K e y a n y T y p e z b w N T n L X > < a : K e y > < K e y > L i n k s \ & l t ; C o l u m n s \ S u m   o f   A c t u a l   C O A   E n g i n e e r i n g   /   A d m i n & g t ; - & l t ; M e a s u r e s \ A c t u a l   C O A   E n g i n e e r i n g   /   A d m i n & g t ; < / K e y > < / a : K e y > < a : V a l u e   i : t y p e = " M e a s u r e G r i d V i e w S t a t e I D i a g r a m L i n k " / > < / a : K e y V a l u e O f D i a g r a m O b j e c t K e y a n y T y p e z b w N T n L X > < a : K e y V a l u e O f D i a g r a m O b j e c t K e y a n y T y p e z b w N T n L X > < a : K e y > < K e y > L i n k s \ & l t ; C o l u m n s \ S u m   o f   A c t u a l   C O A   E n g i n e e r i n g   /   A d m i n & g t ; - & l t ; M e a s u r e s \ A c t u a l   C O A   E n g i n e e r i n g   /   A d m i n & g t ; \ C O L U M N < / K e y > < / a : K e y > < a : V a l u e   i : t y p e = " M e a s u r e G r i d V i e w S t a t e I D i a g r a m L i n k E n d p o i n t " / > < / a : K e y V a l u e O f D i a g r a m O b j e c t K e y a n y T y p e z b w N T n L X > < a : K e y V a l u e O f D i a g r a m O b j e c t K e y a n y T y p e z b w N T n L X > < a : K e y > < K e y > L i n k s \ & l t ; C o l u m n s \ S u m   o f   A c t u a l   C O A   E n g i n e e r i n g   /   A d m i n & g t ; - & l t ; M e a s u r e s \ A c t u a l   C O A   E n g i n e e r i n g   /   A d m i n & g t ; \ M E A S U R E < / K e y > < / a : K e y > < a : V a l u e   i : t y p e = " M e a s u r e G r i d V i e w S t a t e I D i a g r a m L i n k E n d p o i n t " / > < / a : K e y V a l u e O f D i a g r a m O b j e c t K e y a n y T y p e z b w N T n L X > < a : K e y V a l u e O f D i a g r a m O b j e c t K e y a n y T y p e z b w N T n L X > < a : K e y > < K e y > L i n k s \ & l t ; C o l u m n s \ S u m   o f   E n g i n e e r ' s   E s t & g t ; - & l t ; M e a s u r e s \ E n g i n e e r ' s   E s t & g t ; < / K e y > < / a : K e y > < a : V a l u e   i : t y p e = " M e a s u r e G r i d V i e w S t a t e I D i a g r a m L i n k " / > < / a : K e y V a l u e O f D i a g r a m O b j e c t K e y a n y T y p e z b w N T n L X > < a : K e y V a l u e O f D i a g r a m O b j e c t K e y a n y T y p e z b w N T n L X > < a : K e y > < K e y > L i n k s \ & l t ; C o l u m n s \ S u m   o f   E n g i n e e r ' s   E s t & g t ; - & l t ; M e a s u r e s \ E n g i n e e r ' s   E s t & g t ; \ C O L U M N < / K e y > < / a : K e y > < a : V a l u e   i : t y p e = " M e a s u r e G r i d V i e w S t a t e I D i a g r a m L i n k E n d p o i n t " / > < / a : K e y V a l u e O f D i a g r a m O b j e c t K e y a n y T y p e z b w N T n L X > < a : K e y V a l u e O f D i a g r a m O b j e c t K e y a n y T y p e z b w N T n L X > < a : K e y > < K e y > L i n k s \ & l t ; C o l u m n s \ S u m   o f   E n g i n e e r ' s   E s t & g t ; - & l t ; M e a s u r e s \ E n g i n e e r ' s   E s t & g t ; \ M E A S U R E < / K e y > < / a : K e y > < a : V a l u e   i : t y p e = " M e a s u r e G r i d V i e w S t a t e I D i a g r a m L i n k E n d p o i n t " / > < / a : K e y V a l u e O f D i a g r a m O b j e c t K e y a n y T y p e z b w N T n L X > < / V i e w S t a t e s > < / D i a g r a m M a n a g e r . S e r i a l i z a b l e D i a g r a m > < / A r r a y O f D i a g r a m M a n a g e r . S e r i a l i z a b l e D i a g r a m > ] ] > < / C u s t o m C o n t e n t > < / G e m i n i > 
</file>

<file path=customXml/item3.xml>��< ? x m l   v e r s i o n = " 1 . 0 "   e n c o d i n g = " U T F - 1 6 " ? > < G e m i n i   x m l n s = " h t t p : / / g e m i n i / p i v o t c u s t o m i z a t i o n / M a n u a l C a l c M o d e " > < C u s t o m C o n t e n t > < ! [ C D A T A [ F a l s e ] ] > < / C u s t o m C o n t e n t > < / G e m i n i > 
</file>

<file path=customXml/item4.xml>��< ? x m l   v e r s i o n = " 1 . 0 "   e n c o d i n g = " U T F - 1 6 " ? > < G e m i n i   x m l n s = " h t t p : / / g e m i n i / p i v o t c u s t o m i z a t i o n / R e l a t i o n s h i p A u t o D e t e c t i o n E n a b l e d " > < C u s t o m C o n t e n t > < ! [ C D A T A [ T r u e ] ] > < / C u s t o m C o n t e n t > < / G e m i n i > 
</file>

<file path=customXml/item5.xml>��< ? x m l   v e r s i o n = " 1 . 0 "   e n c o d i n g = " U T F - 1 6 " ? > < G e m i n i   x m l n s = " h t t p : / / g e m i n i / p i v o t c u s t o m i z a t i o n / S h o w I m p l i c i t M e a s u r e s " > < C u s t o m C o n t e n t > < ! [ C D A T A [ F a l s e ] ] > < / C u s t o m C o n t e n t > < / G e m i n i > 
</file>

<file path=customXml/item6.xml>��< ? x m l   v e r s i o n = " 1 . 0 "   e n c o d i n g = " U T F - 1 6 " ? > < G e m i n i   x m l n s = " h t t p : / / g e m i n i / p i v o t c u s t o m i z a t i o n / T a b l e X M L _ T a b l e 1 " > < C u s t o m C o n t e n t > < ! [ C D A T A [ < T a b l e W i d g e t G r i d S e r i a l i z a t i o n   x m l n s : x s i = " h t t p : / / w w w . w 3 . o r g / 2 0 0 1 / X M L S c h e m a - i n s t a n c e "   x m l n s : x s d = " h t t p : / / w w w . w 3 . o r g / 2 0 0 1 / X M L S c h e m a " > < C o l u m n S u g g e s t e d T y p e   / > < C o l u m n F o r m a t   / > < C o l u m n A c c u r a c y   / > < C o l u m n C u r r e n c y S y m b o l   / > < C o l u m n P o s i t i v e P a t t e r n   / > < C o l u m n N e g a t i v e P a t t e r n   / > < C o l u m n W i d t h s > < i t e m > < k e y > < s t r i n g > F i s c a l   Y e a r < / s t r i n g > < / k e y > < v a l u e > < i n t > 1 5 7 < / i n t > < / v a l u e > < / i t e m > < i t e m > < k e y > < s t r i n g > F u n d   N o . < / s t r i n g > < / k e y > < v a l u e > < i n t > 1 3 6 < / i n t > < / v a l u e > < / i t e m > < i t e m > < k e y > < s t r i n g > F u n d   N a m e < / s t r i n g > < / k e y > < v a l u e > < i n t > 1 6 1 < / i n t > < / v a l u e > < / i t e m > < i t e m > < k e y > < s t r i n g > P r o g r a m < / s t r i n g > < / k e y > < v a l u e > < i n t > 1 3 1 < / i n t > < / v a l u e > < / i t e m > < i t e m > < k e y > < s t r i n g > A c c o u n t   # < / s t r i n g > < / k e y > < v a l u e > < i n t > 1 4 4 < / i n t > < / v a l u e > < / i t e m > < i t e m > < k e y > < s t r i n g > P r o j e c t   T y p e < / s t r i n g > < / k e y > < v a l u e > < i n t > 1 6 8 < / i n t > < / v a l u e > < / i t e m > < i t e m > < k e y > < s t r i n g > P r o j e c t   N a m e < / s t r i n g > < / k e y > < v a l u e > < i n t > 1 8 0 < / i n t > < / v a l u e > < / i t e m > < i t e m > < k e y > < s t r i n g > C u r r e n t   P h a s e < / s t r i n g > < / k e y > < v a l u e > < i n t > 1 8 7 < / i n t > < / v a l u e > < / i t e m > < i t e m > < k e y > < s t r i n g > O v e r a l l   B u d g e t < / s t r i n g > < / k e y > < v a l u e > < i n t > 1 9 1 < / i n t > < / v a l u e > < / i t e m > < i t e m > < k e y > < s t r i n g > C o n s t r u c t i o n   P O   # s < / s t r i n g > < / k e y > < v a l u e > < i n t > 2 3 6 < / i n t > < / v a l u e > < / i t e m > < i t e m > < k e y > < s t r i n g > D e s i g n   E n g i n e e r < / s t r i n g > < / k e y > < v a l u e > < i n t > 2 0 8 < / i n t > < / v a l u e > < / i t e m > < i t e m > < k e y > < s t r i n g > P r o f e s s i o n a l   S e r v i c e   A g r e e m e n t   ( P S A )   A m o u n t < / s t r i n g > < / k e y > < v a l u e > < i n t > 5 0 6 < / i n t > < / v a l u e > < / i t e m > < i t e m > < k e y > < s t r i n g > A c t u a l   P S A   S p e n t < / s t r i n g > < / k e y > < v a l u e > < i n t > 2 2 2 < / i n t > < / v a l u e > < / i t e m > < i t e m > < k e y > < s t r i n g > F i s c a l   Y e a r   D e s i g n   C o m p l e t e < / s t r i n g > < / k e y > < v a l u e > < i n t > 3 3 1 < / i n t > < / v a l u e > < / i t e m > < i t e m > < k e y > < s t r i n g > F i s c a l   Y e a r   B i d < / s t r i n g > < / k e y > < v a l u e > < i n t > 1 9 5 < / i n t > < / v a l u e > < / i t e m > < i t e m > < k e y > < s t r i n g > C o n s t r u c t i o n   S t a r t   D a t e < / s t r i n g > < / k e y > < v a l u e > < i n t > 2 7 3 < / i n t > < / v a l u e > < / i t e m > < i t e m > < k e y > < s t r i n g > C o n s t r u c t i o n   C o m p l e t i o n   D a t e < / s t r i n g > < / k e y > < v a l u e > < i n t > 3 3 8 < / i n t > < / v a l u e > < / i t e m > < i t e m > < k e y > < s t r i n g > F i s c a l   Y e a r   C o n s t r u c t i o n   C o m p l e t e d < / s t r i n g > < / k e y > < v a l u e > < i n t > 3 9 7 < / i n t > < / v a l u e > < / i t e m > < i t e m > < k e y > < s t r i n g > P l a n n e d   C o n s t r u c t i o n   C o m p l e t i o n   D a t e < / s t r i n g > < / k e y > < v a l u e > < i n t > 4 2 4 < / i n t > < / v a l u e > < / i t e m > < i t e m > < k e y > < s t r i n g > I n s p e c t o r < / s t r i n g > < / k e y > < v a l u e > < i n t > 1 3 6 < / i n t > < / v a l u e > < / i t e m > < i t e m > < k e y > < s t r i n g > P r o j e c t   E n g i n e e r < / s t r i n g > < / k e y > < v a l u e > < i n t > 2 0 8 < / i n t > < / v a l u e > < / i t e m > < i t e m > < k e y > < s t r i n g > C o n t r a c t o r < / s t r i n g > < / k e y > < v a l u e > < i n t > 1 4 8 < / i n t > < / v a l u e > < / i t e m > < i t e m > < k e y > < s t r i n g > I D O T < / s t r i n g > < / k e y > < v a l u e > < i n t > 9 8 < / i n t > < / v a l u e > < / i t e m > < i t e m > < k e y > < s t r i n g > M P O   S T B G   F u n d s < / s t r i n g > < / k e y > < v a l u e > < i n t > 2 2 8 < / i n t > < / v a l u e > < / i t e m > < i t e m > < k e y > < s t r i n g > E n g i n e e r ' s   E s t < / s t r i n g > < / k e y > < v a l u e > < i n t > 1 8 7 < / i n t > < / v a l u e > < / i t e m > < i t e m > < k e y > < s t r i n g > B i d   A m o u n t < / s t r i n g > < / k e y > < v a l u e > < i n t > 1 6 1 < / i n t > < / v a l u e > < / i t e m > < i t e m > < k e y > < s t r i n g > F i n a l   C o n s t r u c t i o n   C o s t s < / s t r i n g > < / k e y > < v a l u e > < i n t > 2 8 4 < / i n t > < / v a l u e > < / i t e m > < i t e m > < k e y > < s t r i n g > E s t i m a t e d   C O A   E n g i n e e r i n g   /     A d m i n < / s t r i n g > < / k e y > < v a l u e > < i n t > 4 0 8 < / i n t > < / v a l u e > < / i t e m > < i t e m > < k e y > < s t r i n g > A c t u a l   C O A   E n g i n e e r i n g   /   A d m i n < / s t r i n g > < / k e y > < v a l u e > < i n t > 3 6 5 < / i n t > < / v a l u e > < / i t e m > < i t e m > < k e y > < s t r i n g > T o t a l   A n t i c i p a t e d   C o s t s < / s t r i n g > < / k e y > < v a l u e > < i n t > 2 7 0 < / i n t > < / v a l u e > < / i t e m > < i t e m > < k e y > < s t r i n g > A c t u a l   C o n t r a c t u a l   C o s t s   +   E s t i m a t e d   C O A < / s t r i n g > < / k e y > < v a l u e > < i n t > 4 6 4 < / i n t > < / v a l u e > < / i t e m > < i t e m > < k e y > < s t r i n g > R e m a i n i n g   B u d g e t   ( I - A D ) < / s t r i n g > < / k e y > < v a l u e > < i n t > 2 9 1 < / i n t > < / v a l u e > < / i t e m > < i t e m > < k e y > < s t r i n g > N P D E S   P e r m i t < / s t r i n g > < / k e y > < v a l u e > < i n t > 1 9 4 < / i n t > < / v a l u e > < / i t e m > < i t e m > < k e y > < s t r i n g > A v a i l a b l e   B a l a n c e   ( 4 / 0 1 / 2 0 2 5 ) < / s t r i n g > < / k e y > < v a l u e > < i n t > 3 3 7 < / i n t > < / v a l u e > < / i t e m > < i t e m > < k e y > < s t r i n g > R F P < / s t r i n g > < / k e y > < v a l u e > < i n t > 9 1 < / i n t > < / v a l u e > < / i t e m > < i t e m > < k e y > < s t r i n g > N o t e s < / s t r i n g > < / k e y > < v a l u e > < i n t > 1 0 4 < / i n t > < / v a l u e > < / i t e m > < / C o l u m n W i d t h s > < C o l u m n D i s p l a y I n d e x > < i t e m > < k e y > < s t r i n g > F i s c a l   Y e a r < / s t r i n g > < / k e y > < v a l u e > < i n t > 0 < / i n t > < / v a l u e > < / i t e m > < i t e m > < k e y > < s t r i n g > F u n d   N o . < / s t r i n g > < / k e y > < v a l u e > < i n t > 1 < / i n t > < / v a l u e > < / i t e m > < i t e m > < k e y > < s t r i n g > F u n d   N a m e < / s t r i n g > < / k e y > < v a l u e > < i n t > 2 < / i n t > < / v a l u e > < / i t e m > < i t e m > < k e y > < s t r i n g > P r o g r a m < / s t r i n g > < / k e y > < v a l u e > < i n t > 3 < / i n t > < / v a l u e > < / i t e m > < i t e m > < k e y > < s t r i n g > A c c o u n t   # < / s t r i n g > < / k e y > < v a l u e > < i n t > 4 < / i n t > < / v a l u e > < / i t e m > < i t e m > < k e y > < s t r i n g > P r o j e c t   T y p e < / s t r i n g > < / k e y > < v a l u e > < i n t > 5 < / i n t > < / v a l u e > < / i t e m > < i t e m > < k e y > < s t r i n g > P r o j e c t   N a m e < / s t r i n g > < / k e y > < v a l u e > < i n t > 6 < / i n t > < / v a l u e > < / i t e m > < i t e m > < k e y > < s t r i n g > C u r r e n t   P h a s e < / s t r i n g > < / k e y > < v a l u e > < i n t > 7 < / i n t > < / v a l u e > < / i t e m > < i t e m > < k e y > < s t r i n g > O v e r a l l   B u d g e t < / s t r i n g > < / k e y > < v a l u e > < i n t > 8 < / i n t > < / v a l u e > < / i t e m > < i t e m > < k e y > < s t r i n g > C o n s t r u c t i o n   P O   # s < / s t r i n g > < / k e y > < v a l u e > < i n t > 9 < / i n t > < / v a l u e > < / i t e m > < i t e m > < k e y > < s t r i n g > D e s i g n   E n g i n e e r < / s t r i n g > < / k e y > < v a l u e > < i n t > 1 0 < / i n t > < / v a l u e > < / i t e m > < i t e m > < k e y > < s t r i n g > P r o f e s s i o n a l   S e r v i c e   A g r e e m e n t   ( P S A )   A m o u n t < / s t r i n g > < / k e y > < v a l u e > < i n t > 1 1 < / i n t > < / v a l u e > < / i t e m > < i t e m > < k e y > < s t r i n g > A c t u a l   P S A   S p e n t < / s t r i n g > < / k e y > < v a l u e > < i n t > 1 2 < / i n t > < / v a l u e > < / i t e m > < i t e m > < k e y > < s t r i n g > F i s c a l   Y e a r   D e s i g n   C o m p l e t e < / s t r i n g > < / k e y > < v a l u e > < i n t > 1 3 < / i n t > < / v a l u e > < / i t e m > < i t e m > < k e y > < s t r i n g > F i s c a l   Y e a r   B i d < / s t r i n g > < / k e y > < v a l u e > < i n t > 1 4 < / i n t > < / v a l u e > < / i t e m > < i t e m > < k e y > < s t r i n g > C o n s t r u c t i o n   S t a r t   D a t e < / s t r i n g > < / k e y > < v a l u e > < i n t > 1 5 < / i n t > < / v a l u e > < / i t e m > < i t e m > < k e y > < s t r i n g > C o n s t r u c t i o n   C o m p l e t i o n   D a t e < / s t r i n g > < / k e y > < v a l u e > < i n t > 1 6 < / i n t > < / v a l u e > < / i t e m > < i t e m > < k e y > < s t r i n g > F i s c a l   Y e a r   C o n s t r u c t i o n   C o m p l e t e d < / s t r i n g > < / k e y > < v a l u e > < i n t > 1 7 < / i n t > < / v a l u e > < / i t e m > < i t e m > < k e y > < s t r i n g > P l a n n e d   C o n s t r u c t i o n   C o m p l e t i o n   D a t e < / s t r i n g > < / k e y > < v a l u e > < i n t > 1 8 < / i n t > < / v a l u e > < / i t e m > < i t e m > < k e y > < s t r i n g > I n s p e c t o r < / s t r i n g > < / k e y > < v a l u e > < i n t > 1 9 < / i n t > < / v a l u e > < / i t e m > < i t e m > < k e y > < s t r i n g > P r o j e c t   E n g i n e e r < / s t r i n g > < / k e y > < v a l u e > < i n t > 2 0 < / i n t > < / v a l u e > < / i t e m > < i t e m > < k e y > < s t r i n g > C o n t r a c t o r < / s t r i n g > < / k e y > < v a l u e > < i n t > 2 1 < / i n t > < / v a l u e > < / i t e m > < i t e m > < k e y > < s t r i n g > I D O T < / s t r i n g > < / k e y > < v a l u e > < i n t > 2 2 < / i n t > < / v a l u e > < / i t e m > < i t e m > < k e y > < s t r i n g > M P O   S T B G   F u n d s < / s t r i n g > < / k e y > < v a l u e > < i n t > 2 3 < / i n t > < / v a l u e > < / i t e m > < i t e m > < k e y > < s t r i n g > E n g i n e e r ' s   E s t < / s t r i n g > < / k e y > < v a l u e > < i n t > 2 4 < / i n t > < / v a l u e > < / i t e m > < i t e m > < k e y > < s t r i n g > B i d   A m o u n t < / s t r i n g > < / k e y > < v a l u e > < i n t > 2 5 < / i n t > < / v a l u e > < / i t e m > < i t e m > < k e y > < s t r i n g > F i n a l   C o n s t r u c t i o n   C o s t s < / s t r i n g > < / k e y > < v a l u e > < i n t > 2 6 < / i n t > < / v a l u e > < / i t e m > < i t e m > < k e y > < s t r i n g > E s t i m a t e d   C O A   E n g i n e e r i n g   /     A d m i n < / s t r i n g > < / k e y > < v a l u e > < i n t > 2 7 < / i n t > < / v a l u e > < / i t e m > < i t e m > < k e y > < s t r i n g > A c t u a l   C O A   E n g i n e e r i n g   /   A d m i n < / s t r i n g > < / k e y > < v a l u e > < i n t > 2 8 < / i n t > < / v a l u e > < / i t e m > < i t e m > < k e y > < s t r i n g > T o t a l   A n t i c i p a t e d   C o s t s < / s t r i n g > < / k e y > < v a l u e > < i n t > 2 9 < / i n t > < / v a l u e > < / i t e m > < i t e m > < k e y > < s t r i n g > A c t u a l   C o n t r a c t u a l   C o s t s   +   E s t i m a t e d   C O A < / s t r i n g > < / k e y > < v a l u e > < i n t > 3 0 < / i n t > < / v a l u e > < / i t e m > < i t e m > < k e y > < s t r i n g > R e m a i n i n g   B u d g e t   ( I - A D ) < / s t r i n g > < / k e y > < v a l u e > < i n t > 3 1 < / i n t > < / v a l u e > < / i t e m > < i t e m > < k e y > < s t r i n g > N P D E S   P e r m i t < / s t r i n g > < / k e y > < v a l u e > < i n t > 3 2 < / i n t > < / v a l u e > < / i t e m > < i t e m > < k e y > < s t r i n g > A v a i l a b l e   B a l a n c e   ( 4 / 0 1 / 2 0 2 5 ) < / s t r i n g > < / k e y > < v a l u e > < i n t > 3 3 < / i n t > < / v a l u e > < / i t e m > < i t e m > < k e y > < s t r i n g > R F P < / s t r i n g > < / k e y > < v a l u e > < i n t > 3 4 < / i n t > < / v a l u e > < / i t e m > < i t e m > < k e y > < s t r i n g > N o t e s < / s t r i n g > < / k e y > < v a l u e > < i n t > 3 5 < / i n t > < / v a l u e > < / i t e m > < / C o l u m n D i s p l a y I n d e x > < C o l u m n F r o z e n   / > < C o l u m n C h e c k e d   / > < C o l u m n F i l t e r   / > < S e l e c t i o n F i l t e r   / > < F i l t e r P a r a m e t e r s   / > < I s S o r t D e s c e n d i n g > f a l s e < / I s S o r t D e s c e n d i n g > < / T a b l e W i d g e t G r i d S e r i a l i z a t i o n > ] ] > < / C u s t o m C o n t e n t > < / G e m i n i > 
</file>

<file path=customXml/item7.xml>��< ? x m l   v e r s i o n = " 1 . 0 "   e n c o d i n g = " u t f - 1 6 " ? > < D a t a M a s h u p   x m l n s = " h t t p : / / s c h e m a s . m i c r o s o f t . c o m / D a t a M a s h u p " > A A A A A B Q D A A B Q S w M E F A A C A A g A q W H r W u 4 v n K m k A A A A 9 g A A A B I A H A B D b 2 5 m a W c v U G F j a 2 F n Z S 5 4 b W w g o h g A K K A U A A A A A A A A A A A A A A A A A A A A A A A A A A A A h Y 9 N D o I w G E S v Q r q n P 2 D U k I + y c C u J C d G 4 b W q F R i i G F s v d X H g k r y B G U X c u 5 8 1 b z N y v N 8 i G p g 4 u q r O 6 N S l i m K J A G d k e t C l T 1 L t j u E Q Z h 4 2 Q J 1 G q Y J S N T Q Z 7 S F H l 3 D k h x H u P f Y z b r i Q R p Y z s 8 3 U h K 9 U I 9 J H 1 f z n U x j p h p E I c d q 8 x P M J s F m O 2 m G M K Z I K Q a / M V o n H v s / 2 B s O p r 1 3 e K K x N u C y B T B P L + w B 9 Q S w M E F A A C A A g A q W H r 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l h 6 1 o o i k e 4 D g A A A B E A A A A T A B w A R m 9 y b X V s Y X M v U 2 V j d G l v b j E u b S C i G A A o o B Q A A A A A A A A A A A A A A A A A A A A A A A A A A A A r T k 0 u y c z P U w i G 0 I b W A F B L A Q I t A B Q A A g A I A K l h 6 1 r u L 5 y p p A A A A P Y A A A A S A A A A A A A A A A A A A A A A A A A A A A B D b 2 5 m a W c v U G F j a 2 F n Z S 5 4 b W x Q S w E C L Q A U A A I A C A C p Y e t a D 8 r p q 6 Q A A A D p A A A A E w A A A A A A A A A A A A A A A A D w A A A A W 0 N v b n R l b n R f V H l w Z X N d L n h t b F B L A Q I t A B Q A A g A I A K l h 6 1 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D a A A A A A Q A A A N C M n d 8 B F d E R j H o A w E / C l + s B A A A A a g h e N 6 g 4 I 0 K F a Q W n / Q Q Y F g A A A A A C A A A A A A A D Z g A A w A A A A B A A A A B H d r c P K x w / A G Q g 9 m a m F f y F A A A A A A S A A A C g A A A A E A A A A L h F X + 5 E l h 0 d X 5 j N + y p z + 5 x Q A A A A l K S i B K d n y x 0 y D 3 c O 0 j 8 q v i h z R K D a 1 L 9 n z x a Y i C w d u 9 X w 1 q T Z e 9 Y I i 5 P O R 4 A H n K R S n l 2 r M j q e L P n C n + b F m 3 m / R v A D O 1 g P a o G L D 7 5 O P 2 I 8 9 s c U A A A A T H J l 7 O v a + / O c R 1 v x g q U y B s z H l M g = < / D a t a M a s h u p > 
</file>

<file path=customXml/item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 2 0 2 5 - 0 4 - 1 1 T 1 7 : 1 2 : 5 6 . 8 3 7 3 9 8 1 - 0 5 : 0 0 < / L a s t P r o c e s s e d T i m e > < / D a t a M o d e l i n g S a n d b o x . S e r i a l i z e d S a n d b o x E r r o r C a c h e > ] ] > < / C u s t o m C o n t e n t > < / G e m i n i > 
</file>

<file path=customXml/item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K e y > < V a l u e   x m l n s : a = " h t t p : / / s c h e m a s . d a t a c o n t r a c t . o r g / 2 0 0 4 / 0 7 / M i c r o s o f t . A n a l y s i s S e r v i c e s . C o m m o n " > < a : H a s F o c u s > f a l s e < / a : H a s F o c u s > < a : S i z e A t D p i 9 6 > 1 3 7 < / a : S i z e A t D p i 9 6 > < a : V i s i b l e > t r u e < / a : V i s i b l e > < / V a l u e > < / K e y V a l u e O f s t r i n g S a n d b o x E d i t o r . M e a s u r e G r i d S t a t e S c d E 3 5 R y > < / A r r a y O f K e y V a l u e O f s t r i n g S a n d b o x E d i t o r . M e a s u r e G r i d S t a t e S c d E 3 5 R y > ] ] > < / C u s t o m C o n t e n t > < / G e m i n i > 
</file>

<file path=customXml/itemProps1.xml><?xml version="1.0" encoding="utf-8"?>
<ds:datastoreItem xmlns:ds="http://schemas.openxmlformats.org/officeDocument/2006/customXml" ds:itemID="{2CBFF9AE-885F-494D-8B9D-A1008E218756}">
  <ds:schemaRefs/>
</ds:datastoreItem>
</file>

<file path=customXml/itemProps10.xml><?xml version="1.0" encoding="utf-8"?>
<ds:datastoreItem xmlns:ds="http://schemas.openxmlformats.org/officeDocument/2006/customXml" ds:itemID="{A710223B-39EB-47D8-87DF-7DF569307D65}">
  <ds:schemaRefs/>
</ds:datastoreItem>
</file>

<file path=customXml/itemProps11.xml><?xml version="1.0" encoding="utf-8"?>
<ds:datastoreItem xmlns:ds="http://schemas.openxmlformats.org/officeDocument/2006/customXml" ds:itemID="{899A1C91-9C0D-4E32-93B5-92CE2856A000}">
  <ds:schemaRefs/>
</ds:datastoreItem>
</file>

<file path=customXml/itemProps12.xml><?xml version="1.0" encoding="utf-8"?>
<ds:datastoreItem xmlns:ds="http://schemas.openxmlformats.org/officeDocument/2006/customXml" ds:itemID="{4E403E9B-14D4-4528-952A-19AB216DFE00}">
  <ds:schemaRefs/>
</ds:datastoreItem>
</file>

<file path=customXml/itemProps13.xml><?xml version="1.0" encoding="utf-8"?>
<ds:datastoreItem xmlns:ds="http://schemas.openxmlformats.org/officeDocument/2006/customXml" ds:itemID="{B2D9DD5A-673D-4C86-98D2-36B7B66447EA}">
  <ds:schemaRefs/>
</ds:datastoreItem>
</file>

<file path=customXml/itemProps14.xml><?xml version="1.0" encoding="utf-8"?>
<ds:datastoreItem xmlns:ds="http://schemas.openxmlformats.org/officeDocument/2006/customXml" ds:itemID="{A8DBE2E2-233F-4A1A-A9F2-19FBAC2DC6E4}">
  <ds:schemaRefs/>
</ds:datastoreItem>
</file>

<file path=customXml/itemProps15.xml><?xml version="1.0" encoding="utf-8"?>
<ds:datastoreItem xmlns:ds="http://schemas.openxmlformats.org/officeDocument/2006/customXml" ds:itemID="{077B5E52-4DB0-4471-BD8B-2FCFAB5D562E}">
  <ds:schemaRefs/>
</ds:datastoreItem>
</file>

<file path=customXml/itemProps16.xml><?xml version="1.0" encoding="utf-8"?>
<ds:datastoreItem xmlns:ds="http://schemas.openxmlformats.org/officeDocument/2006/customXml" ds:itemID="{195CDC12-FFFA-4A26-9367-7F3BF8D6E1DC}">
  <ds:schemaRefs/>
</ds:datastoreItem>
</file>

<file path=customXml/itemProps17.xml><?xml version="1.0" encoding="utf-8"?>
<ds:datastoreItem xmlns:ds="http://schemas.openxmlformats.org/officeDocument/2006/customXml" ds:itemID="{9BF214E8-BB4D-41FE-9ECC-C82F7CBB867E}">
  <ds:schemaRefs/>
</ds:datastoreItem>
</file>

<file path=customXml/itemProps2.xml><?xml version="1.0" encoding="utf-8"?>
<ds:datastoreItem xmlns:ds="http://schemas.openxmlformats.org/officeDocument/2006/customXml" ds:itemID="{0AADA633-68C7-4731-AED4-C7F050420647}">
  <ds:schemaRefs/>
</ds:datastoreItem>
</file>

<file path=customXml/itemProps3.xml><?xml version="1.0" encoding="utf-8"?>
<ds:datastoreItem xmlns:ds="http://schemas.openxmlformats.org/officeDocument/2006/customXml" ds:itemID="{31776ECA-CE2D-4E88-8445-E3F7A03175F7}">
  <ds:schemaRefs/>
</ds:datastoreItem>
</file>

<file path=customXml/itemProps4.xml><?xml version="1.0" encoding="utf-8"?>
<ds:datastoreItem xmlns:ds="http://schemas.openxmlformats.org/officeDocument/2006/customXml" ds:itemID="{67629CDD-6F67-4647-8BF0-BECA9AF52669}">
  <ds:schemaRefs/>
</ds:datastoreItem>
</file>

<file path=customXml/itemProps5.xml><?xml version="1.0" encoding="utf-8"?>
<ds:datastoreItem xmlns:ds="http://schemas.openxmlformats.org/officeDocument/2006/customXml" ds:itemID="{F36F5D2C-4CFD-4A38-A9CA-20BD1C745C26}">
  <ds:schemaRefs/>
</ds:datastoreItem>
</file>

<file path=customXml/itemProps6.xml><?xml version="1.0" encoding="utf-8"?>
<ds:datastoreItem xmlns:ds="http://schemas.openxmlformats.org/officeDocument/2006/customXml" ds:itemID="{F7454F06-C915-41B4-9242-6F7B40C13D0C}">
  <ds:schemaRefs/>
</ds:datastoreItem>
</file>

<file path=customXml/itemProps7.xml><?xml version="1.0" encoding="utf-8"?>
<ds:datastoreItem xmlns:ds="http://schemas.openxmlformats.org/officeDocument/2006/customXml" ds:itemID="{178014AD-52A3-4ED6-9313-60CEC5D544EE}">
  <ds:schemaRefs>
    <ds:schemaRef ds:uri="http://schemas.microsoft.com/DataMashup"/>
  </ds:schemaRefs>
</ds:datastoreItem>
</file>

<file path=customXml/itemProps8.xml><?xml version="1.0" encoding="utf-8"?>
<ds:datastoreItem xmlns:ds="http://schemas.openxmlformats.org/officeDocument/2006/customXml" ds:itemID="{F95FAAED-1AE8-434F-A468-343AE8A0288F}">
  <ds:schemaRefs/>
</ds:datastoreItem>
</file>

<file path=customXml/itemProps9.xml><?xml version="1.0" encoding="utf-8"?>
<ds:datastoreItem xmlns:ds="http://schemas.openxmlformats.org/officeDocument/2006/customXml" ds:itemID="{58D790A3-178E-470F-A62C-FB94B03E655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vt:i4>
      </vt:variant>
    </vt:vector>
  </HeadingPairs>
  <TitlesOfParts>
    <vt:vector size="17" baseType="lpstr">
      <vt:lpstr>Projects</vt:lpstr>
      <vt:lpstr>2025-26 CIP Costs</vt:lpstr>
      <vt:lpstr>COA Salary Staff Time</vt:lpstr>
      <vt:lpstr>Current Active Projects</vt:lpstr>
      <vt:lpstr>Current Construction Projects</vt:lpstr>
      <vt:lpstr>Current Close-Out Projects</vt:lpstr>
      <vt:lpstr>Current Design Projects</vt:lpstr>
      <vt:lpstr>Water Improvements Fund</vt:lpstr>
      <vt:lpstr>Sanitary Sewer Fund</vt:lpstr>
      <vt:lpstr>ARPA Fund</vt:lpstr>
      <vt:lpstr>Stormwater Fund</vt:lpstr>
      <vt:lpstr>Street Improvements</vt:lpstr>
      <vt:lpstr>Bid to Const Cost Comparison</vt:lpstr>
      <vt:lpstr>Code Lookup</vt:lpstr>
      <vt:lpstr>'Current Construction Projects'!Print_Area</vt:lpstr>
      <vt:lpstr>'Current Design Projects'!Print_Area</vt:lpstr>
      <vt:lpstr>Projects!Print_Area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Bryngelson, Mindy</dc:creator>
  <cp:lastModifiedBy>Ritter, McKinlee</cp:lastModifiedBy>
  <cp:lastPrinted>2025-11-13T18:05:01Z</cp:lastPrinted>
  <dcterms:created xsi:type="dcterms:W3CDTF">2024-11-08T22:50:15Z</dcterms:created>
  <dcterms:modified xsi:type="dcterms:W3CDTF">2026-06-17T20:38:49Z</dcterms:modified>
</cp:coreProperties>
</file>