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drawings/drawing5.xml" ContentType="application/vnd.openxmlformats-officedocument.drawing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comments12.xml" ContentType="application/vnd.openxmlformats-officedocument.spreadsheetml.comments+xml"/>
  <Override PartName="/xl/threadedComments/threadedComment12.xml" ContentType="application/vnd.ms-excel.threadedcomments+xml"/>
  <Override PartName="/xl/drawings/drawing6.xml" ContentType="application/vnd.openxmlformats-officedocument.drawing+xml"/>
  <Override PartName="/xl/comments13.xml" ContentType="application/vnd.openxmlformats-officedocument.spreadsheetml.comments+xml"/>
  <Override PartName="/xl/threadedComments/threadedComment13.xml" ContentType="application/vnd.ms-excel.threadedcomments+xml"/>
  <Override PartName="/xl/comments14.xml" ContentType="application/vnd.openxmlformats-officedocument.spreadsheetml.comments+xml"/>
  <Override PartName="/xl/threadedComments/threadedComment14.xml" ContentType="application/vnd.ms-excel.threadedcomments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ityamesiaus-my.sharepoint.com/personal/mindy_bryngelson_cityofames_org/Documents/Documents/_Budget/Project-Construction Management Software/"/>
    </mc:Choice>
  </mc:AlternateContent>
  <xr:revisionPtr revIDLastSave="0" documentId="8_{F0373081-DABB-4E8A-8731-9E1D54395A9F}" xr6:coauthVersionLast="47" xr6:coauthVersionMax="47" xr10:uidLastSave="{00000000-0000-0000-0000-000000000000}"/>
  <bookViews>
    <workbookView xWindow="45972" yWindow="6060" windowWidth="23256" windowHeight="12456" tabRatio="776" xr2:uid="{00000000-000D-0000-FFFF-FFFF00000000}"/>
  </bookViews>
  <sheets>
    <sheet name="PROJECT INFO" sheetId="11" r:id="rId1"/>
    <sheet name="BIDTAB" sheetId="1" r:id="rId2"/>
    <sheet name="CHANGEORDER" sheetId="27" r:id="rId3"/>
    <sheet name="CHANGEORDER 1" sheetId="30" r:id="rId4"/>
    <sheet name="CHANGEORDER 2" sheetId="33" r:id="rId5"/>
    <sheet name="PAY EST 1" sheetId="10" r:id="rId6"/>
    <sheet name="PAY EST 2" sheetId="29" r:id="rId7"/>
    <sheet name="PAY EST 3" sheetId="31" r:id="rId8"/>
    <sheet name="PAY EST 4 " sheetId="34" r:id="rId9"/>
    <sheet name="PAY EST 5 NP" sheetId="32" r:id="rId10"/>
    <sheet name="PAY EST 6" sheetId="35" r:id="rId11"/>
    <sheet name="PAY EST 7" sheetId="36" r:id="rId12"/>
    <sheet name="CO 3 BAL NP" sheetId="38" r:id="rId13"/>
    <sheet name="PAY EST 8 Bal" sheetId="37" r:id="rId14"/>
    <sheet name="CHANGEORDER 4" sheetId="40" r:id="rId15"/>
    <sheet name="PAY EST 9 Final" sheetId="42" r:id="rId16"/>
    <sheet name="CAF Table" sheetId="39" r:id="rId17"/>
    <sheet name="ESRI_MAPINFO_SHEET" sheetId="28" state="veryHidden" r:id="rId18"/>
  </sheets>
  <definedNames>
    <definedName name="_xlnm._FilterDatabase" localSheetId="1" hidden="1">BIDTAB!$A$5:$N$94</definedName>
    <definedName name="_xlnm._FilterDatabase" localSheetId="0" hidden="1">'PROJECT INFO'!$A$1:$B$15</definedName>
    <definedName name="Account_Number0">'PROJECT INFO'!$B$16</definedName>
    <definedName name="Account_Number1">'PROJECT INFO'!$B$17</definedName>
    <definedName name="Account_Number2">'PROJECT INFO'!$B$18</definedName>
    <definedName name="Account_Number3">'PROJECT INFO'!$B$19</definedName>
    <definedName name="Account_Number4">'PROJECT INFO'!$B$20</definedName>
    <definedName name="Account_Number5">'PROJECT INFO'!$B$21</definedName>
    <definedName name="Account_Number6">'PROJECT INFO'!$B$22</definedName>
    <definedName name="Account_Number7">'PROJECT INFO'!$B$23</definedName>
    <definedName name="Account_Number8">'PROJECT INFO'!$B$24</definedName>
    <definedName name="Account_Number9">'PROJECT INFO'!$B$25</definedName>
    <definedName name="Award_Amount">'PROJECT INFO'!$B$8</definedName>
    <definedName name="Bid_Let_Date">'PROJECT INFO'!$B$7</definedName>
    <definedName name="BIDTAB">BIDTAB!$A$6:$H$121</definedName>
    <definedName name="Business_Office_Email">'PROJECT INFO'!$B$14</definedName>
    <definedName name="Contract_Date">'PROJECT INFO'!$B$9</definedName>
    <definedName name="Contractor_Address1">'PROJECT INFO'!$B$12</definedName>
    <definedName name="Contractor_Address2">'PROJECT INFO'!$B$13</definedName>
    <definedName name="Contractor_Name">'PROJECT INFO'!$B$11</definedName>
    <definedName name="Department">'PROJECT INFO'!$B$2</definedName>
    <definedName name="Division">'PROJECT INFO'!$B$3</definedName>
    <definedName name="Fiscal_Year">'PROJECT INFO'!$B$4</definedName>
    <definedName name="Location">'PROJECT INFO'!$B$6</definedName>
    <definedName name="_xlnm.Print_Area" localSheetId="1">BIDTAB!$A$1:$H$96</definedName>
    <definedName name="_xlnm.Print_Area" localSheetId="2">CHANGEORDER!$A$1:$J$59</definedName>
    <definedName name="_xlnm.Print_Area" localSheetId="3">'CHANGEORDER 1'!$A$1:$J$59</definedName>
    <definedName name="_xlnm.Print_Area" localSheetId="4">'CHANGEORDER 2'!$A$1:$J$59</definedName>
    <definedName name="_xlnm.Print_Area" localSheetId="14">'CHANGEORDER 4'!$A$1:$J$59</definedName>
    <definedName name="_xlnm.Print_Area" localSheetId="12">'CO 3 BAL NP'!$A$1:$J$86</definedName>
    <definedName name="_xlnm.Print_Area" localSheetId="5">'PAY EST 1'!$A$1:$O$120</definedName>
    <definedName name="_xlnm.Print_Area" localSheetId="6">'PAY EST 2'!$A$1:$O$120</definedName>
    <definedName name="_xlnm.Print_Area" localSheetId="7">'PAY EST 3'!$A$1:$O$120</definedName>
    <definedName name="_xlnm.Print_Area" localSheetId="8">'PAY EST 4 '!$A$1:$O$120</definedName>
    <definedName name="_xlnm.Print_Area" localSheetId="9">'PAY EST 5 NP'!$A$1:$O$121</definedName>
    <definedName name="_xlnm.Print_Area" localSheetId="10">'PAY EST 6'!$A$1:$O$121</definedName>
    <definedName name="_xlnm.Print_Area" localSheetId="11">'PAY EST 7'!$A$1:$O$121</definedName>
    <definedName name="_xlnm.Print_Area" localSheetId="13">'PAY EST 8 Bal'!$A$1:$O$121</definedName>
    <definedName name="_xlnm.Print_Area" localSheetId="15">'PAY EST 9 Final'!$A$1:$O$121</definedName>
    <definedName name="_xlnm.Print_Area" localSheetId="0">'PROJECT INFO'!$A$1:$D$25</definedName>
    <definedName name="_xlnm.Print_Titles" localSheetId="1">BIDTAB!$1:$5</definedName>
    <definedName name="_xlnm.Print_Titles" localSheetId="5">'PAY EST 1'!$1:$7</definedName>
    <definedName name="_xlnm.Print_Titles" localSheetId="6">'PAY EST 2'!$1:$7</definedName>
    <definedName name="_xlnm.Print_Titles" localSheetId="7">'PAY EST 3'!$1:$7</definedName>
    <definedName name="_xlnm.Print_Titles" localSheetId="8">'PAY EST 4 '!$1:$7</definedName>
    <definedName name="_xlnm.Print_Titles" localSheetId="9">'PAY EST 5 NP'!$1:$7</definedName>
    <definedName name="_xlnm.Print_Titles" localSheetId="10">'PAY EST 6'!$1:$7</definedName>
    <definedName name="_xlnm.Print_Titles" localSheetId="11">'PAY EST 7'!$1:$7</definedName>
    <definedName name="_xlnm.Print_Titles" localSheetId="13">'PAY EST 8 Bal'!$1:$7</definedName>
    <definedName name="_xlnm.Print_Titles" localSheetId="15">'PAY EST 9 Final'!$1:$7</definedName>
    <definedName name="Program">'PROJECT INFO'!$B$5</definedName>
    <definedName name="Project_Engineer">'PROJECT INFO'!$B$15</definedName>
    <definedName name="Purchase_Order">'PROJECT INFO'!$B$10</definedName>
    <definedName name="solver_typ" localSheetId="1" hidden="1">2</definedName>
    <definedName name="solver_typ" localSheetId="2" hidden="1">2</definedName>
    <definedName name="solver_typ" localSheetId="3" hidden="1">2</definedName>
    <definedName name="solver_typ" localSheetId="4" hidden="1">2</definedName>
    <definedName name="solver_typ" localSheetId="14" hidden="1">2</definedName>
    <definedName name="solver_typ" localSheetId="12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typ" localSheetId="10" hidden="1">2</definedName>
    <definedName name="solver_typ" localSheetId="11" hidden="1">2</definedName>
    <definedName name="solver_typ" localSheetId="13" hidden="1">2</definedName>
    <definedName name="solver_typ" localSheetId="15" hidden="1">2</definedName>
    <definedName name="solver_ver" localSheetId="1" hidden="1">16</definedName>
    <definedName name="solver_ver" localSheetId="2" hidden="1">16</definedName>
    <definedName name="solver_ver" localSheetId="3" hidden="1">16</definedName>
    <definedName name="solver_ver" localSheetId="4" hidden="1">16</definedName>
    <definedName name="solver_ver" localSheetId="14" hidden="1">16</definedName>
    <definedName name="solver_ver" localSheetId="12" hidden="1">16</definedName>
    <definedName name="solver_ver" localSheetId="5" hidden="1">16</definedName>
    <definedName name="solver_ver" localSheetId="6" hidden="1">16</definedName>
    <definedName name="solver_ver" localSheetId="7" hidden="1">16</definedName>
    <definedName name="solver_ver" localSheetId="8" hidden="1">16</definedName>
    <definedName name="solver_ver" localSheetId="9" hidden="1">16</definedName>
    <definedName name="solver_ver" localSheetId="10" hidden="1">16</definedName>
    <definedName name="solver_ver" localSheetId="11" hidden="1">16</definedName>
    <definedName name="solver_ver" localSheetId="13" hidden="1">16</definedName>
    <definedName name="solver_ver" localSheetId="15" hidden="1">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2" i="42" l="1"/>
  <c r="G121" i="42"/>
  <c r="E121" i="42"/>
  <c r="G120" i="42"/>
  <c r="E120" i="42"/>
  <c r="G119" i="42"/>
  <c r="E119" i="42"/>
  <c r="G118" i="42"/>
  <c r="E118" i="42"/>
  <c r="G117" i="42"/>
  <c r="E117" i="42"/>
  <c r="G116" i="42"/>
  <c r="E116" i="42"/>
  <c r="I115" i="42"/>
  <c r="G115" i="42"/>
  <c r="E115" i="42"/>
  <c r="I114" i="42"/>
  <c r="G114" i="42"/>
  <c r="E114" i="42"/>
  <c r="M113" i="42"/>
  <c r="I113" i="42"/>
  <c r="G113" i="42"/>
  <c r="E113" i="42"/>
  <c r="I112" i="42"/>
  <c r="G112" i="42"/>
  <c r="E112" i="42"/>
  <c r="F108" i="42"/>
  <c r="J108" i="42" s="1"/>
  <c r="E108" i="42"/>
  <c r="L108" i="42" s="1"/>
  <c r="D108" i="42"/>
  <c r="B108" i="42"/>
  <c r="F107" i="42"/>
  <c r="E107" i="42"/>
  <c r="L107" i="42" s="1"/>
  <c r="D107" i="42"/>
  <c r="B107" i="42"/>
  <c r="F106" i="42"/>
  <c r="E106" i="42"/>
  <c r="L106" i="42" s="1"/>
  <c r="D106" i="42"/>
  <c r="B106" i="42"/>
  <c r="K105" i="42"/>
  <c r="F105" i="42"/>
  <c r="E105" i="42"/>
  <c r="L105" i="42" s="1"/>
  <c r="D105" i="42"/>
  <c r="B105" i="42"/>
  <c r="L104" i="42"/>
  <c r="K104" i="42"/>
  <c r="I104" i="42"/>
  <c r="F104" i="42"/>
  <c r="E104" i="42"/>
  <c r="D104" i="42"/>
  <c r="B104" i="42"/>
  <c r="I103" i="42"/>
  <c r="F103" i="42"/>
  <c r="E103" i="42"/>
  <c r="L103" i="42" s="1"/>
  <c r="D103" i="42"/>
  <c r="B103" i="42"/>
  <c r="F102" i="42"/>
  <c r="E102" i="42"/>
  <c r="L102" i="42" s="1"/>
  <c r="D102" i="42"/>
  <c r="B102" i="42"/>
  <c r="F101" i="42"/>
  <c r="I101" i="42" s="1"/>
  <c r="E101" i="42"/>
  <c r="L101" i="42" s="1"/>
  <c r="D101" i="42"/>
  <c r="B101" i="42"/>
  <c r="F100" i="42"/>
  <c r="J100" i="42" s="1"/>
  <c r="E100" i="42"/>
  <c r="K100" i="42" s="1"/>
  <c r="D100" i="42"/>
  <c r="B100" i="42"/>
  <c r="F99" i="42"/>
  <c r="E99" i="42"/>
  <c r="L99" i="42" s="1"/>
  <c r="D99" i="42"/>
  <c r="B99" i="42"/>
  <c r="F98" i="42"/>
  <c r="E98" i="42"/>
  <c r="K98" i="42" s="1"/>
  <c r="D98" i="42"/>
  <c r="B98" i="42"/>
  <c r="F97" i="42"/>
  <c r="I97" i="42" s="1"/>
  <c r="E97" i="42"/>
  <c r="L97" i="42" s="1"/>
  <c r="D97" i="42"/>
  <c r="B97" i="42"/>
  <c r="F96" i="42"/>
  <c r="E96" i="42"/>
  <c r="L96" i="42" s="1"/>
  <c r="D96" i="42"/>
  <c r="B96" i="42"/>
  <c r="I95" i="42"/>
  <c r="F95" i="42"/>
  <c r="E95" i="42"/>
  <c r="L95" i="42" s="1"/>
  <c r="D95" i="42"/>
  <c r="B95" i="42"/>
  <c r="L94" i="42"/>
  <c r="J94" i="42"/>
  <c r="F94" i="42"/>
  <c r="I94" i="42" s="1"/>
  <c r="E94" i="42"/>
  <c r="K94" i="42" s="1"/>
  <c r="D94" i="42"/>
  <c r="B94" i="42"/>
  <c r="K93" i="42"/>
  <c r="F93" i="42"/>
  <c r="J93" i="42" s="1"/>
  <c r="E93" i="42"/>
  <c r="L93" i="42" s="1"/>
  <c r="D93" i="42"/>
  <c r="B93" i="42"/>
  <c r="L92" i="42"/>
  <c r="K92" i="42"/>
  <c r="F92" i="42"/>
  <c r="E92" i="42"/>
  <c r="D92" i="42"/>
  <c r="B92" i="42"/>
  <c r="I91" i="42"/>
  <c r="F91" i="42"/>
  <c r="E91" i="42"/>
  <c r="L91" i="42" s="1"/>
  <c r="D91" i="42"/>
  <c r="B91" i="42"/>
  <c r="F90" i="42"/>
  <c r="E90" i="42"/>
  <c r="L90" i="42" s="1"/>
  <c r="D90" i="42"/>
  <c r="B90" i="42"/>
  <c r="F89" i="42"/>
  <c r="I89" i="42" s="1"/>
  <c r="E89" i="42"/>
  <c r="L89" i="42" s="1"/>
  <c r="D89" i="42"/>
  <c r="B89" i="42"/>
  <c r="F88" i="42"/>
  <c r="I88" i="42" s="1"/>
  <c r="E88" i="42"/>
  <c r="K88" i="42" s="1"/>
  <c r="D88" i="42"/>
  <c r="B88" i="42"/>
  <c r="F87" i="42"/>
  <c r="E87" i="42"/>
  <c r="L87" i="42" s="1"/>
  <c r="D87" i="42"/>
  <c r="B87" i="42"/>
  <c r="F86" i="42"/>
  <c r="E86" i="42"/>
  <c r="L86" i="42" s="1"/>
  <c r="D86" i="42"/>
  <c r="B86" i="42"/>
  <c r="F85" i="42"/>
  <c r="I85" i="42" s="1"/>
  <c r="E85" i="42"/>
  <c r="L85" i="42" s="1"/>
  <c r="D85" i="42"/>
  <c r="B85" i="42"/>
  <c r="F84" i="42"/>
  <c r="J84" i="42" s="1"/>
  <c r="E84" i="42"/>
  <c r="L84" i="42" s="1"/>
  <c r="D84" i="42"/>
  <c r="B84" i="42"/>
  <c r="I83" i="42"/>
  <c r="F83" i="42"/>
  <c r="J83" i="42" s="1"/>
  <c r="E83" i="42"/>
  <c r="L83" i="42" s="1"/>
  <c r="D83" i="42"/>
  <c r="B83" i="42"/>
  <c r="F82" i="42"/>
  <c r="J82" i="42" s="1"/>
  <c r="E82" i="42"/>
  <c r="L82" i="42" s="1"/>
  <c r="D82" i="42"/>
  <c r="B82" i="42"/>
  <c r="K81" i="42"/>
  <c r="F81" i="42"/>
  <c r="J81" i="42" s="1"/>
  <c r="E81" i="42"/>
  <c r="L81" i="42" s="1"/>
  <c r="D81" i="42"/>
  <c r="B81" i="42"/>
  <c r="L80" i="42"/>
  <c r="K80" i="42"/>
  <c r="I80" i="42"/>
  <c r="F80" i="42"/>
  <c r="J80" i="42" s="1"/>
  <c r="E80" i="42"/>
  <c r="D80" i="42"/>
  <c r="B80" i="42"/>
  <c r="L79" i="42"/>
  <c r="I79" i="42"/>
  <c r="F79" i="42"/>
  <c r="E79" i="42"/>
  <c r="K79" i="42" s="1"/>
  <c r="D79" i="42"/>
  <c r="B79" i="42"/>
  <c r="L78" i="42"/>
  <c r="J78" i="42"/>
  <c r="F78" i="42"/>
  <c r="I78" i="42" s="1"/>
  <c r="E78" i="42"/>
  <c r="K78" i="42" s="1"/>
  <c r="D78" i="42"/>
  <c r="B78" i="42"/>
  <c r="F77" i="42"/>
  <c r="J77" i="42" s="1"/>
  <c r="E77" i="42"/>
  <c r="L77" i="42" s="1"/>
  <c r="D77" i="42"/>
  <c r="B77" i="42"/>
  <c r="F76" i="42"/>
  <c r="J76" i="42" s="1"/>
  <c r="E76" i="42"/>
  <c r="L76" i="42" s="1"/>
  <c r="D76" i="42"/>
  <c r="B76" i="42"/>
  <c r="K75" i="42"/>
  <c r="F75" i="42"/>
  <c r="J75" i="42" s="1"/>
  <c r="E75" i="42"/>
  <c r="L75" i="42" s="1"/>
  <c r="D75" i="42"/>
  <c r="B75" i="42"/>
  <c r="L74" i="42"/>
  <c r="M74" i="42" s="1"/>
  <c r="K74" i="42"/>
  <c r="I74" i="42"/>
  <c r="F74" i="42"/>
  <c r="J74" i="42" s="1"/>
  <c r="E74" i="42"/>
  <c r="D74" i="42"/>
  <c r="B74" i="42"/>
  <c r="L73" i="42"/>
  <c r="I73" i="42"/>
  <c r="F73" i="42"/>
  <c r="E73" i="42"/>
  <c r="K73" i="42" s="1"/>
  <c r="D73" i="42"/>
  <c r="B73" i="42"/>
  <c r="L72" i="42"/>
  <c r="J72" i="42"/>
  <c r="F72" i="42"/>
  <c r="I72" i="42" s="1"/>
  <c r="E72" i="42"/>
  <c r="K72" i="42" s="1"/>
  <c r="D72" i="42"/>
  <c r="B72" i="42"/>
  <c r="F71" i="42"/>
  <c r="J71" i="42" s="1"/>
  <c r="E71" i="42"/>
  <c r="L71" i="42" s="1"/>
  <c r="D71" i="42"/>
  <c r="B71" i="42"/>
  <c r="L70" i="42"/>
  <c r="K70" i="42"/>
  <c r="F70" i="42"/>
  <c r="J70" i="42" s="1"/>
  <c r="M70" i="42" s="1"/>
  <c r="E70" i="42"/>
  <c r="D70" i="42"/>
  <c r="B70" i="42"/>
  <c r="K69" i="42"/>
  <c r="I69" i="42"/>
  <c r="F69" i="42"/>
  <c r="J69" i="42" s="1"/>
  <c r="E69" i="42"/>
  <c r="L69" i="42" s="1"/>
  <c r="D69" i="42"/>
  <c r="B69" i="42"/>
  <c r="L68" i="42"/>
  <c r="K68" i="42"/>
  <c r="I68" i="42"/>
  <c r="F68" i="42"/>
  <c r="J68" i="42" s="1"/>
  <c r="E68" i="42"/>
  <c r="D68" i="42"/>
  <c r="B68" i="42"/>
  <c r="L67" i="42"/>
  <c r="I67" i="42"/>
  <c r="F67" i="42"/>
  <c r="E67" i="42"/>
  <c r="K67" i="42" s="1"/>
  <c r="D67" i="42"/>
  <c r="B67" i="42"/>
  <c r="L66" i="42"/>
  <c r="J66" i="42"/>
  <c r="F66" i="42"/>
  <c r="I66" i="42" s="1"/>
  <c r="E66" i="42"/>
  <c r="K66" i="42" s="1"/>
  <c r="D66" i="42"/>
  <c r="B66" i="42"/>
  <c r="F65" i="42"/>
  <c r="J65" i="42" s="1"/>
  <c r="E65" i="42"/>
  <c r="L65" i="42" s="1"/>
  <c r="D65" i="42"/>
  <c r="B65" i="42"/>
  <c r="K64" i="42"/>
  <c r="F64" i="42"/>
  <c r="J64" i="42" s="1"/>
  <c r="E64" i="42"/>
  <c r="L64" i="42" s="1"/>
  <c r="D64" i="42"/>
  <c r="B64" i="42"/>
  <c r="K63" i="42"/>
  <c r="I63" i="42"/>
  <c r="F63" i="42"/>
  <c r="J63" i="42" s="1"/>
  <c r="E63" i="42"/>
  <c r="L63" i="42" s="1"/>
  <c r="D63" i="42"/>
  <c r="B63" i="42"/>
  <c r="L62" i="42"/>
  <c r="K62" i="42"/>
  <c r="I62" i="42"/>
  <c r="F62" i="42"/>
  <c r="J62" i="42" s="1"/>
  <c r="E62" i="42"/>
  <c r="D62" i="42"/>
  <c r="B62" i="42"/>
  <c r="L61" i="42"/>
  <c r="I61" i="42"/>
  <c r="F61" i="42"/>
  <c r="E61" i="42"/>
  <c r="K61" i="42" s="1"/>
  <c r="D61" i="42"/>
  <c r="B61" i="42"/>
  <c r="L60" i="42"/>
  <c r="J60" i="42"/>
  <c r="F60" i="42"/>
  <c r="I60" i="42" s="1"/>
  <c r="E60" i="42"/>
  <c r="K60" i="42" s="1"/>
  <c r="D60" i="42"/>
  <c r="B60" i="42"/>
  <c r="F59" i="42"/>
  <c r="J59" i="42" s="1"/>
  <c r="E59" i="42"/>
  <c r="L59" i="42" s="1"/>
  <c r="D59" i="42"/>
  <c r="B59" i="42"/>
  <c r="L58" i="42"/>
  <c r="K58" i="42"/>
  <c r="F58" i="42"/>
  <c r="J58" i="42" s="1"/>
  <c r="M58" i="42" s="1"/>
  <c r="E58" i="42"/>
  <c r="D58" i="42"/>
  <c r="B58" i="42"/>
  <c r="L57" i="42"/>
  <c r="K57" i="42"/>
  <c r="M57" i="42" s="1"/>
  <c r="J57" i="42"/>
  <c r="I57" i="42"/>
  <c r="E57" i="42"/>
  <c r="D57" i="42"/>
  <c r="B57" i="42"/>
  <c r="L56" i="42"/>
  <c r="K56" i="42"/>
  <c r="F56" i="42"/>
  <c r="J56" i="42" s="1"/>
  <c r="M56" i="42" s="1"/>
  <c r="E56" i="42"/>
  <c r="D56" i="42"/>
  <c r="B56" i="42"/>
  <c r="K55" i="42"/>
  <c r="F55" i="42"/>
  <c r="J55" i="42" s="1"/>
  <c r="E55" i="42"/>
  <c r="L55" i="42" s="1"/>
  <c r="D55" i="42"/>
  <c r="B55" i="42"/>
  <c r="K54" i="42"/>
  <c r="I54" i="42"/>
  <c r="F54" i="42"/>
  <c r="J54" i="42" s="1"/>
  <c r="E54" i="42"/>
  <c r="L54" i="42" s="1"/>
  <c r="D54" i="42"/>
  <c r="B54" i="42"/>
  <c r="I53" i="42"/>
  <c r="F53" i="42"/>
  <c r="E53" i="42"/>
  <c r="L53" i="42" s="1"/>
  <c r="D53" i="42"/>
  <c r="B53" i="42"/>
  <c r="F52" i="42"/>
  <c r="J52" i="42" s="1"/>
  <c r="E52" i="42"/>
  <c r="L52" i="42" s="1"/>
  <c r="D52" i="42"/>
  <c r="B52" i="42"/>
  <c r="L51" i="42"/>
  <c r="K51" i="42"/>
  <c r="J51" i="42"/>
  <c r="I51" i="42"/>
  <c r="F51" i="42"/>
  <c r="E51" i="42"/>
  <c r="D51" i="42"/>
  <c r="B51" i="42"/>
  <c r="L50" i="42"/>
  <c r="K50" i="42"/>
  <c r="F50" i="42"/>
  <c r="J50" i="42" s="1"/>
  <c r="M50" i="42" s="1"/>
  <c r="E50" i="42"/>
  <c r="D50" i="42"/>
  <c r="B50" i="42"/>
  <c r="K49" i="42"/>
  <c r="F49" i="42"/>
  <c r="J49" i="42" s="1"/>
  <c r="E49" i="42"/>
  <c r="L49" i="42" s="1"/>
  <c r="D49" i="42"/>
  <c r="B49" i="42"/>
  <c r="K48" i="42"/>
  <c r="I48" i="42"/>
  <c r="F48" i="42"/>
  <c r="J48" i="42" s="1"/>
  <c r="E48" i="42"/>
  <c r="L48" i="42" s="1"/>
  <c r="D48" i="42"/>
  <c r="B48" i="42"/>
  <c r="I47" i="42"/>
  <c r="F47" i="42"/>
  <c r="E47" i="42"/>
  <c r="L47" i="42" s="1"/>
  <c r="D47" i="42"/>
  <c r="B47" i="42"/>
  <c r="F46" i="42"/>
  <c r="J46" i="42" s="1"/>
  <c r="E46" i="42"/>
  <c r="L46" i="42" s="1"/>
  <c r="D46" i="42"/>
  <c r="B46" i="42"/>
  <c r="L45" i="42"/>
  <c r="K45" i="42"/>
  <c r="J45" i="42"/>
  <c r="I45" i="42"/>
  <c r="F45" i="42"/>
  <c r="E45" i="42"/>
  <c r="D45" i="42"/>
  <c r="B45" i="42"/>
  <c r="L44" i="42"/>
  <c r="K44" i="42"/>
  <c r="F44" i="42"/>
  <c r="J44" i="42" s="1"/>
  <c r="M44" i="42" s="1"/>
  <c r="E44" i="42"/>
  <c r="D44" i="42"/>
  <c r="B44" i="42"/>
  <c r="K43" i="42"/>
  <c r="F43" i="42"/>
  <c r="J43" i="42" s="1"/>
  <c r="E43" i="42"/>
  <c r="L43" i="42" s="1"/>
  <c r="D43" i="42"/>
  <c r="B43" i="42"/>
  <c r="K42" i="42"/>
  <c r="I42" i="42"/>
  <c r="F42" i="42"/>
  <c r="J42" i="42" s="1"/>
  <c r="E42" i="42"/>
  <c r="L42" i="42" s="1"/>
  <c r="D42" i="42"/>
  <c r="B42" i="42"/>
  <c r="I41" i="42"/>
  <c r="F41" i="42"/>
  <c r="E41" i="42"/>
  <c r="L41" i="42" s="1"/>
  <c r="D41" i="42"/>
  <c r="B41" i="42"/>
  <c r="F40" i="42"/>
  <c r="J40" i="42" s="1"/>
  <c r="E40" i="42"/>
  <c r="L40" i="42" s="1"/>
  <c r="D40" i="42"/>
  <c r="B40" i="42"/>
  <c r="L39" i="42"/>
  <c r="K39" i="42"/>
  <c r="J39" i="42"/>
  <c r="M39" i="42" s="1"/>
  <c r="I39" i="42"/>
  <c r="F39" i="42"/>
  <c r="E39" i="42"/>
  <c r="D39" i="42"/>
  <c r="B39" i="42"/>
  <c r="L38" i="42"/>
  <c r="K38" i="42"/>
  <c r="F38" i="42"/>
  <c r="J38" i="42" s="1"/>
  <c r="M38" i="42" s="1"/>
  <c r="E38" i="42"/>
  <c r="D38" i="42"/>
  <c r="B38" i="42"/>
  <c r="K37" i="42"/>
  <c r="F37" i="42"/>
  <c r="J37" i="42" s="1"/>
  <c r="E37" i="42"/>
  <c r="L37" i="42" s="1"/>
  <c r="D37" i="42"/>
  <c r="B37" i="42"/>
  <c r="K36" i="42"/>
  <c r="I36" i="42"/>
  <c r="F36" i="42"/>
  <c r="J36" i="42" s="1"/>
  <c r="E36" i="42"/>
  <c r="L36" i="42" s="1"/>
  <c r="D36" i="42"/>
  <c r="B36" i="42"/>
  <c r="I35" i="42"/>
  <c r="F35" i="42"/>
  <c r="E35" i="42"/>
  <c r="L35" i="42" s="1"/>
  <c r="D35" i="42"/>
  <c r="B35" i="42"/>
  <c r="O34" i="42"/>
  <c r="O115" i="42" s="1"/>
  <c r="L34" i="42"/>
  <c r="K34" i="42"/>
  <c r="F34" i="42"/>
  <c r="J34" i="42" s="1"/>
  <c r="M34" i="42" s="1"/>
  <c r="E34" i="42"/>
  <c r="D34" i="42"/>
  <c r="B34" i="42"/>
  <c r="L33" i="42"/>
  <c r="K33" i="42"/>
  <c r="M33" i="42" s="1"/>
  <c r="J33" i="42"/>
  <c r="I33" i="42"/>
  <c r="F33" i="42"/>
  <c r="E33" i="42"/>
  <c r="D33" i="42"/>
  <c r="B33" i="42"/>
  <c r="L32" i="42"/>
  <c r="M32" i="42" s="1"/>
  <c r="K32" i="42"/>
  <c r="J32" i="42"/>
  <c r="I32" i="42"/>
  <c r="F32" i="42"/>
  <c r="E32" i="42"/>
  <c r="D32" i="42"/>
  <c r="B32" i="42"/>
  <c r="L31" i="42"/>
  <c r="I31" i="42"/>
  <c r="F31" i="42"/>
  <c r="E31" i="42"/>
  <c r="K31" i="42" s="1"/>
  <c r="D31" i="42"/>
  <c r="B31" i="42"/>
  <c r="L30" i="42"/>
  <c r="J30" i="42"/>
  <c r="F30" i="42"/>
  <c r="I30" i="42" s="1"/>
  <c r="E30" i="42"/>
  <c r="K30" i="42" s="1"/>
  <c r="D30" i="42"/>
  <c r="B30" i="42"/>
  <c r="J29" i="42"/>
  <c r="F29" i="42"/>
  <c r="I29" i="42" s="1"/>
  <c r="E29" i="42"/>
  <c r="L29" i="42" s="1"/>
  <c r="D29" i="42"/>
  <c r="B29" i="42"/>
  <c r="L28" i="42"/>
  <c r="K28" i="42"/>
  <c r="F28" i="42"/>
  <c r="J28" i="42" s="1"/>
  <c r="M28" i="42" s="1"/>
  <c r="E28" i="42"/>
  <c r="D28" i="42"/>
  <c r="B28" i="42"/>
  <c r="L27" i="42"/>
  <c r="K27" i="42"/>
  <c r="M27" i="42" s="1"/>
  <c r="J27" i="42"/>
  <c r="I27" i="42"/>
  <c r="F27" i="42"/>
  <c r="E27" i="42"/>
  <c r="D27" i="42"/>
  <c r="B27" i="42"/>
  <c r="L26" i="42"/>
  <c r="M26" i="42" s="1"/>
  <c r="K26" i="42"/>
  <c r="J26" i="42"/>
  <c r="I26" i="42"/>
  <c r="F26" i="42"/>
  <c r="E26" i="42"/>
  <c r="D26" i="42"/>
  <c r="B26" i="42"/>
  <c r="L25" i="42"/>
  <c r="I25" i="42"/>
  <c r="F25" i="42"/>
  <c r="E25" i="42"/>
  <c r="K25" i="42" s="1"/>
  <c r="D25" i="42"/>
  <c r="B25" i="42"/>
  <c r="L24" i="42"/>
  <c r="J24" i="42"/>
  <c r="F24" i="42"/>
  <c r="I24" i="42" s="1"/>
  <c r="E24" i="42"/>
  <c r="K24" i="42" s="1"/>
  <c r="D24" i="42"/>
  <c r="B24" i="42"/>
  <c r="J23" i="42"/>
  <c r="F23" i="42"/>
  <c r="I23" i="42" s="1"/>
  <c r="E23" i="42"/>
  <c r="L23" i="42" s="1"/>
  <c r="D23" i="42"/>
  <c r="B23" i="42"/>
  <c r="I22" i="42"/>
  <c r="E22" i="42"/>
  <c r="L22" i="42" s="1"/>
  <c r="D22" i="42"/>
  <c r="B22" i="42"/>
  <c r="L21" i="42"/>
  <c r="K21" i="42"/>
  <c r="J21" i="42"/>
  <c r="M21" i="42" s="1"/>
  <c r="I21" i="42"/>
  <c r="F21" i="42"/>
  <c r="E21" i="42"/>
  <c r="D21" i="42"/>
  <c r="B21" i="42"/>
  <c r="L20" i="42"/>
  <c r="K20" i="42"/>
  <c r="F20" i="42"/>
  <c r="J20" i="42" s="1"/>
  <c r="M20" i="42" s="1"/>
  <c r="E20" i="42"/>
  <c r="D20" i="42"/>
  <c r="B20" i="42"/>
  <c r="O19" i="42"/>
  <c r="O5" i="42" s="1"/>
  <c r="O122" i="42" s="1"/>
  <c r="L19" i="42"/>
  <c r="I19" i="42"/>
  <c r="F19" i="42"/>
  <c r="E19" i="42"/>
  <c r="K19" i="42" s="1"/>
  <c r="D19" i="42"/>
  <c r="B19" i="42"/>
  <c r="L18" i="42"/>
  <c r="J18" i="42"/>
  <c r="F18" i="42"/>
  <c r="I18" i="42" s="1"/>
  <c r="E18" i="42"/>
  <c r="K18" i="42" s="1"/>
  <c r="D18" i="42"/>
  <c r="B18" i="42"/>
  <c r="J17" i="42"/>
  <c r="F17" i="42"/>
  <c r="I17" i="42" s="1"/>
  <c r="E17" i="42"/>
  <c r="L17" i="42" s="1"/>
  <c r="D17" i="42"/>
  <c r="B17" i="42"/>
  <c r="L16" i="42"/>
  <c r="K16" i="42"/>
  <c r="F16" i="42"/>
  <c r="J16" i="42" s="1"/>
  <c r="M16" i="42" s="1"/>
  <c r="E16" i="42"/>
  <c r="D16" i="42"/>
  <c r="B16" i="42"/>
  <c r="L15" i="42"/>
  <c r="K15" i="42"/>
  <c r="M15" i="42" s="1"/>
  <c r="J15" i="42"/>
  <c r="I15" i="42"/>
  <c r="F15" i="42"/>
  <c r="E15" i="42"/>
  <c r="D15" i="42"/>
  <c r="B15" i="42"/>
  <c r="L14" i="42"/>
  <c r="M14" i="42" s="1"/>
  <c r="K14" i="42"/>
  <c r="J14" i="42"/>
  <c r="I14" i="42"/>
  <c r="F14" i="42"/>
  <c r="E14" i="42"/>
  <c r="D14" i="42"/>
  <c r="B14" i="42"/>
  <c r="L13" i="42"/>
  <c r="I13" i="42"/>
  <c r="F13" i="42"/>
  <c r="E13" i="42"/>
  <c r="K13" i="42" s="1"/>
  <c r="D13" i="42"/>
  <c r="B13" i="42"/>
  <c r="L12" i="42"/>
  <c r="J12" i="42"/>
  <c r="F12" i="42"/>
  <c r="I12" i="42" s="1"/>
  <c r="E12" i="42"/>
  <c r="K12" i="42" s="1"/>
  <c r="D12" i="42"/>
  <c r="B12" i="42"/>
  <c r="J11" i="42"/>
  <c r="F11" i="42"/>
  <c r="I11" i="42" s="1"/>
  <c r="E11" i="42"/>
  <c r="L11" i="42" s="1"/>
  <c r="D11" i="42"/>
  <c r="B11" i="42"/>
  <c r="L10" i="42"/>
  <c r="K10" i="42"/>
  <c r="F10" i="42"/>
  <c r="J10" i="42" s="1"/>
  <c r="M10" i="42" s="1"/>
  <c r="E10" i="42"/>
  <c r="D10" i="42"/>
  <c r="B10" i="42"/>
  <c r="L9" i="42"/>
  <c r="K9" i="42"/>
  <c r="M9" i="42" s="1"/>
  <c r="J9" i="42"/>
  <c r="I9" i="42"/>
  <c r="F9" i="42"/>
  <c r="E9" i="42"/>
  <c r="D9" i="42"/>
  <c r="B9" i="42"/>
  <c r="L8" i="42"/>
  <c r="M8" i="42" s="1"/>
  <c r="K8" i="42"/>
  <c r="J8" i="42"/>
  <c r="I8" i="42"/>
  <c r="F8" i="42"/>
  <c r="E8" i="42"/>
  <c r="D8" i="42"/>
  <c r="B8" i="42"/>
  <c r="C5" i="42"/>
  <c r="O4" i="42"/>
  <c r="C4" i="42"/>
  <c r="O3" i="42"/>
  <c r="C3" i="42"/>
  <c r="O2" i="42"/>
  <c r="E2" i="42"/>
  <c r="C2" i="42"/>
  <c r="O1" i="42"/>
  <c r="E1" i="42"/>
  <c r="C1" i="42"/>
  <c r="O34" i="37"/>
  <c r="C24" i="40"/>
  <c r="F45" i="40"/>
  <c r="I45" i="40" s="1"/>
  <c r="D45" i="40"/>
  <c r="C45" i="40"/>
  <c r="F44" i="40"/>
  <c r="I44" i="40" s="1"/>
  <c r="D44" i="40"/>
  <c r="C44" i="40"/>
  <c r="F43" i="40"/>
  <c r="I43" i="40" s="1"/>
  <c r="D43" i="40"/>
  <c r="C43" i="40"/>
  <c r="F42" i="40"/>
  <c r="I42" i="40" s="1"/>
  <c r="D42" i="40"/>
  <c r="C42" i="40"/>
  <c r="F41" i="40"/>
  <c r="I41" i="40" s="1"/>
  <c r="D41" i="40"/>
  <c r="C41" i="40"/>
  <c r="F40" i="40"/>
  <c r="I40" i="40" s="1"/>
  <c r="D40" i="40"/>
  <c r="C40" i="40"/>
  <c r="F39" i="40"/>
  <c r="I39" i="40" s="1"/>
  <c r="D39" i="40"/>
  <c r="C39" i="40"/>
  <c r="F38" i="40"/>
  <c r="I38" i="40" s="1"/>
  <c r="D38" i="40"/>
  <c r="C38" i="40"/>
  <c r="F37" i="40"/>
  <c r="I37" i="40" s="1"/>
  <c r="D37" i="40"/>
  <c r="C37" i="40"/>
  <c r="F36" i="40"/>
  <c r="I36" i="40" s="1"/>
  <c r="D36" i="40"/>
  <c r="C36" i="40"/>
  <c r="F35" i="40"/>
  <c r="I35" i="40" s="1"/>
  <c r="D35" i="40"/>
  <c r="C35" i="40"/>
  <c r="F34" i="40"/>
  <c r="I34" i="40" s="1"/>
  <c r="D34" i="40"/>
  <c r="C34" i="40"/>
  <c r="F33" i="40"/>
  <c r="I33" i="40" s="1"/>
  <c r="D33" i="40"/>
  <c r="C33" i="40"/>
  <c r="F32" i="40"/>
  <c r="I32" i="40" s="1"/>
  <c r="D32" i="40"/>
  <c r="C32" i="40"/>
  <c r="F31" i="40"/>
  <c r="I31" i="40" s="1"/>
  <c r="D31" i="40"/>
  <c r="C31" i="40"/>
  <c r="F30" i="40"/>
  <c r="I30" i="40" s="1"/>
  <c r="D30" i="40"/>
  <c r="C30" i="40"/>
  <c r="F29" i="40"/>
  <c r="I29" i="40" s="1"/>
  <c r="D29" i="40"/>
  <c r="C29" i="40"/>
  <c r="F28" i="40"/>
  <c r="I28" i="40" s="1"/>
  <c r="D28" i="40"/>
  <c r="C28" i="40"/>
  <c r="F27" i="40"/>
  <c r="I27" i="40" s="1"/>
  <c r="D27" i="40"/>
  <c r="C27" i="40"/>
  <c r="F26" i="40"/>
  <c r="I26" i="40" s="1"/>
  <c r="D26" i="40"/>
  <c r="C26" i="40"/>
  <c r="F25" i="40"/>
  <c r="I25" i="40" s="1"/>
  <c r="D25" i="40"/>
  <c r="C25" i="40"/>
  <c r="F24" i="40"/>
  <c r="I24" i="40" s="1"/>
  <c r="D24" i="40"/>
  <c r="L22" i="40"/>
  <c r="M22" i="40" s="1"/>
  <c r="H20" i="40"/>
  <c r="H20" i="40" a="1"/>
  <c r="F20" i="40" a="1"/>
  <c r="F20" i="40" s="1"/>
  <c r="B15" i="40"/>
  <c r="I14" i="40"/>
  <c r="B13" i="40"/>
  <c r="I12" i="40"/>
  <c r="B11" i="40"/>
  <c r="B7" i="40"/>
  <c r="I4" i="40"/>
  <c r="I3" i="40"/>
  <c r="F3" i="40"/>
  <c r="F10" i="39"/>
  <c r="E11" i="39"/>
  <c r="D11" i="39"/>
  <c r="E9" i="39"/>
  <c r="J86" i="42" l="1"/>
  <c r="K86" i="42"/>
  <c r="J88" i="42"/>
  <c r="L88" i="42"/>
  <c r="M88" i="42" s="1"/>
  <c r="J104" i="42"/>
  <c r="J106" i="42"/>
  <c r="J90" i="42"/>
  <c r="I86" i="42"/>
  <c r="J99" i="42"/>
  <c r="M99" i="42" s="1"/>
  <c r="K99" i="42"/>
  <c r="J107" i="42"/>
  <c r="M107" i="42" s="1"/>
  <c r="I107" i="42"/>
  <c r="J102" i="42"/>
  <c r="J87" i="42"/>
  <c r="M80" i="42"/>
  <c r="J92" i="42"/>
  <c r="J96" i="42"/>
  <c r="L98" i="42"/>
  <c r="L100" i="42"/>
  <c r="M100" i="42" s="1"/>
  <c r="J98" i="42"/>
  <c r="M98" i="42" s="1"/>
  <c r="I98" i="42"/>
  <c r="I100" i="42"/>
  <c r="K87" i="42"/>
  <c r="M94" i="42"/>
  <c r="I92" i="42"/>
  <c r="J105" i="42"/>
  <c r="M35" i="42"/>
  <c r="M62" i="42"/>
  <c r="M75" i="42"/>
  <c r="M52" i="42"/>
  <c r="M69" i="42"/>
  <c r="M82" i="42"/>
  <c r="M37" i="42"/>
  <c r="M93" i="42"/>
  <c r="M48" i="42"/>
  <c r="M42" i="42"/>
  <c r="M65" i="42"/>
  <c r="M87" i="42"/>
  <c r="M81" i="42"/>
  <c r="M31" i="42"/>
  <c r="M68" i="42"/>
  <c r="M46" i="42"/>
  <c r="M63" i="42"/>
  <c r="M36" i="42"/>
  <c r="M55" i="42"/>
  <c r="M53" i="42"/>
  <c r="M105" i="42"/>
  <c r="M64" i="42"/>
  <c r="M54" i="42"/>
  <c r="M17" i="42"/>
  <c r="M59" i="42"/>
  <c r="M25" i="42"/>
  <c r="M49" i="42"/>
  <c r="M43" i="42"/>
  <c r="I59" i="42"/>
  <c r="M61" i="42"/>
  <c r="I65" i="42"/>
  <c r="M67" i="42"/>
  <c r="I71" i="42"/>
  <c r="I77" i="42"/>
  <c r="K84" i="42"/>
  <c r="M84" i="42" s="1"/>
  <c r="K90" i="42"/>
  <c r="M90" i="42" s="1"/>
  <c r="K96" i="42"/>
  <c r="M96" i="42" s="1"/>
  <c r="K102" i="42"/>
  <c r="M102" i="42" s="1"/>
  <c r="K108" i="42"/>
  <c r="M108" i="42" s="1"/>
  <c r="J89" i="42"/>
  <c r="J95" i="42"/>
  <c r="J101" i="42"/>
  <c r="M101" i="42" s="1"/>
  <c r="I10" i="42"/>
  <c r="K11" i="42"/>
  <c r="M11" i="42" s="1"/>
  <c r="M12" i="42"/>
  <c r="I16" i="42"/>
  <c r="K17" i="42"/>
  <c r="M18" i="42"/>
  <c r="K23" i="42"/>
  <c r="M23" i="42" s="1"/>
  <c r="M24" i="42"/>
  <c r="I28" i="42"/>
  <c r="K29" i="42"/>
  <c r="M29" i="42" s="1"/>
  <c r="M30" i="42"/>
  <c r="I34" i="42"/>
  <c r="J35" i="42"/>
  <c r="J41" i="42"/>
  <c r="M41" i="42" s="1"/>
  <c r="J47" i="42"/>
  <c r="M47" i="42" s="1"/>
  <c r="J53" i="42"/>
  <c r="I58" i="42"/>
  <c r="K59" i="42"/>
  <c r="M60" i="42"/>
  <c r="I64" i="42"/>
  <c r="K65" i="42"/>
  <c r="M66" i="42"/>
  <c r="I70" i="42"/>
  <c r="K71" i="42"/>
  <c r="M71" i="42" s="1"/>
  <c r="M72" i="42"/>
  <c r="I76" i="42"/>
  <c r="K77" i="42"/>
  <c r="M77" i="42" s="1"/>
  <c r="M78" i="42"/>
  <c r="I82" i="42"/>
  <c r="K83" i="42"/>
  <c r="M83" i="42" s="1"/>
  <c r="K89" i="42"/>
  <c r="K95" i="42"/>
  <c r="K101" i="42"/>
  <c r="I106" i="42"/>
  <c r="K107" i="42"/>
  <c r="J22" i="42"/>
  <c r="M22" i="42" s="1"/>
  <c r="K35" i="42"/>
  <c r="I40" i="42"/>
  <c r="K41" i="42"/>
  <c r="I46" i="42"/>
  <c r="K47" i="42"/>
  <c r="I52" i="42"/>
  <c r="K53" i="42"/>
  <c r="K22" i="42"/>
  <c r="I75" i="42"/>
  <c r="K76" i="42"/>
  <c r="M76" i="42" s="1"/>
  <c r="I81" i="42"/>
  <c r="K82" i="42"/>
  <c r="I87" i="42"/>
  <c r="I93" i="42"/>
  <c r="I99" i="42"/>
  <c r="I105" i="42"/>
  <c r="K106" i="42"/>
  <c r="M106" i="42" s="1"/>
  <c r="K40" i="42"/>
  <c r="M40" i="42" s="1"/>
  <c r="K46" i="42"/>
  <c r="K52" i="42"/>
  <c r="I20" i="42"/>
  <c r="I38" i="42"/>
  <c r="I44" i="42"/>
  <c r="I50" i="42"/>
  <c r="I56" i="42"/>
  <c r="J13" i="42"/>
  <c r="M13" i="42" s="1"/>
  <c r="J19" i="42"/>
  <c r="M19" i="42" s="1"/>
  <c r="J25" i="42"/>
  <c r="J31" i="42"/>
  <c r="I37" i="42"/>
  <c r="I43" i="42"/>
  <c r="M45" i="42"/>
  <c r="I49" i="42"/>
  <c r="M51" i="42"/>
  <c r="I55" i="42"/>
  <c r="J61" i="42"/>
  <c r="J67" i="42"/>
  <c r="J73" i="42"/>
  <c r="M73" i="42" s="1"/>
  <c r="J79" i="42"/>
  <c r="M79" i="42" s="1"/>
  <c r="J85" i="42"/>
  <c r="M85" i="42" s="1"/>
  <c r="J91" i="42"/>
  <c r="M91" i="42" s="1"/>
  <c r="J97" i="42"/>
  <c r="J103" i="42"/>
  <c r="M103" i="42" s="1"/>
  <c r="I84" i="42"/>
  <c r="K85" i="42"/>
  <c r="M86" i="42"/>
  <c r="I90" i="42"/>
  <c r="K91" i="42"/>
  <c r="M92" i="42"/>
  <c r="I96" i="42"/>
  <c r="K97" i="42"/>
  <c r="I102" i="42"/>
  <c r="K103" i="42"/>
  <c r="M104" i="42"/>
  <c r="I108" i="42"/>
  <c r="I46" i="40"/>
  <c r="I16" i="40" s="1"/>
  <c r="I21" i="40" s="1"/>
  <c r="F54" i="38"/>
  <c r="I54" i="38" s="1"/>
  <c r="F55" i="38"/>
  <c r="I55" i="38" s="1"/>
  <c r="F56" i="38"/>
  <c r="I56" i="38" s="1"/>
  <c r="F57" i="38"/>
  <c r="I57" i="38" s="1"/>
  <c r="F58" i="38"/>
  <c r="I58" i="38" s="1"/>
  <c r="F59" i="38"/>
  <c r="I59" i="38" s="1"/>
  <c r="F60" i="38"/>
  <c r="I60" i="38" s="1"/>
  <c r="F61" i="38"/>
  <c r="I61" i="38" s="1"/>
  <c r="F62" i="38"/>
  <c r="I62" i="38" s="1"/>
  <c r="F63" i="38"/>
  <c r="I63" i="38" s="1"/>
  <c r="F64" i="38"/>
  <c r="I64" i="38" s="1"/>
  <c r="F65" i="38"/>
  <c r="I65" i="38" s="1"/>
  <c r="F66" i="38"/>
  <c r="I66" i="38" s="1"/>
  <c r="F67" i="38"/>
  <c r="I67" i="38" s="1"/>
  <c r="F68" i="38"/>
  <c r="I68" i="38" s="1"/>
  <c r="F69" i="38"/>
  <c r="I69" i="38" s="1"/>
  <c r="F70" i="38"/>
  <c r="I70" i="38" s="1"/>
  <c r="F71" i="38"/>
  <c r="I71" i="38" s="1"/>
  <c r="D54" i="38"/>
  <c r="D55" i="38"/>
  <c r="D56" i="38"/>
  <c r="D57" i="38"/>
  <c r="D58" i="38"/>
  <c r="D59" i="38"/>
  <c r="D60" i="38"/>
  <c r="D61" i="38"/>
  <c r="D62" i="38"/>
  <c r="D63" i="38"/>
  <c r="D64" i="38"/>
  <c r="D65" i="38"/>
  <c r="D66" i="38"/>
  <c r="D67" i="38"/>
  <c r="D68" i="38"/>
  <c r="D69" i="38"/>
  <c r="D70" i="38"/>
  <c r="D71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F25" i="38"/>
  <c r="I25" i="38" s="1"/>
  <c r="F26" i="38"/>
  <c r="I26" i="38" s="1"/>
  <c r="F27" i="38"/>
  <c r="I27" i="38" s="1"/>
  <c r="F28" i="38"/>
  <c r="I28" i="38" s="1"/>
  <c r="F29" i="38"/>
  <c r="I29" i="38" s="1"/>
  <c r="F30" i="38"/>
  <c r="I30" i="38" s="1"/>
  <c r="F31" i="38"/>
  <c r="I31" i="38" s="1"/>
  <c r="F32" i="38"/>
  <c r="I32" i="38" s="1"/>
  <c r="F33" i="38"/>
  <c r="I33" i="38" s="1"/>
  <c r="F34" i="38"/>
  <c r="I34" i="38" s="1"/>
  <c r="F35" i="38"/>
  <c r="I35" i="38" s="1"/>
  <c r="F36" i="38"/>
  <c r="I36" i="38" s="1"/>
  <c r="F37" i="38"/>
  <c r="I37" i="38" s="1"/>
  <c r="F38" i="38"/>
  <c r="I38" i="38" s="1"/>
  <c r="F39" i="38"/>
  <c r="I39" i="38" s="1"/>
  <c r="F40" i="38"/>
  <c r="I40" i="38" s="1"/>
  <c r="F41" i="38"/>
  <c r="I41" i="38" s="1"/>
  <c r="F42" i="38"/>
  <c r="I42" i="38" s="1"/>
  <c r="F43" i="38"/>
  <c r="I43" i="38" s="1"/>
  <c r="F44" i="38"/>
  <c r="I44" i="38" s="1"/>
  <c r="F45" i="38"/>
  <c r="I45" i="38" s="1"/>
  <c r="F46" i="38"/>
  <c r="I46" i="38" s="1"/>
  <c r="F47" i="38"/>
  <c r="I47" i="38" s="1"/>
  <c r="F48" i="38"/>
  <c r="I48" i="38" s="1"/>
  <c r="F49" i="38"/>
  <c r="I49" i="38" s="1"/>
  <c r="F50" i="38"/>
  <c r="I50" i="38" s="1"/>
  <c r="F51" i="38"/>
  <c r="I51" i="38" s="1"/>
  <c r="F52" i="38"/>
  <c r="I52" i="38" s="1"/>
  <c r="F53" i="38"/>
  <c r="I53" i="38" s="1"/>
  <c r="F72" i="38"/>
  <c r="I72" i="38" s="1"/>
  <c r="D25" i="38"/>
  <c r="D26" i="38"/>
  <c r="D27" i="38"/>
  <c r="D28" i="38"/>
  <c r="D29" i="38"/>
  <c r="D30" i="38"/>
  <c r="D31" i="38"/>
  <c r="D32" i="38"/>
  <c r="D33" i="38"/>
  <c r="D34" i="38"/>
  <c r="D35" i="38"/>
  <c r="D36" i="38"/>
  <c r="D37" i="38"/>
  <c r="D38" i="38"/>
  <c r="D39" i="38"/>
  <c r="D40" i="38"/>
  <c r="D41" i="38"/>
  <c r="D42" i="38"/>
  <c r="D43" i="38"/>
  <c r="D44" i="38"/>
  <c r="D45" i="38"/>
  <c r="D46" i="38"/>
  <c r="D47" i="38"/>
  <c r="D48" i="38"/>
  <c r="D49" i="38"/>
  <c r="D50" i="38"/>
  <c r="D51" i="38"/>
  <c r="D52" i="38"/>
  <c r="D53" i="38"/>
  <c r="D72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70" i="38"/>
  <c r="C71" i="38"/>
  <c r="C72" i="38"/>
  <c r="F24" i="38"/>
  <c r="I24" i="38" s="1"/>
  <c r="D24" i="38"/>
  <c r="C24" i="38"/>
  <c r="L22" i="38"/>
  <c r="M22" i="38" s="1"/>
  <c r="H20" i="38" a="1"/>
  <c r="H20" i="38" s="1"/>
  <c r="F20" i="38" a="1"/>
  <c r="F20" i="38" s="1"/>
  <c r="B15" i="38"/>
  <c r="I14" i="38"/>
  <c r="B13" i="38"/>
  <c r="I12" i="38"/>
  <c r="B11" i="38"/>
  <c r="B7" i="38"/>
  <c r="I4" i="38"/>
  <c r="I3" i="38"/>
  <c r="F3" i="38"/>
  <c r="G121" i="37"/>
  <c r="E121" i="37"/>
  <c r="G120" i="37"/>
  <c r="E120" i="37"/>
  <c r="G119" i="37"/>
  <c r="E119" i="37"/>
  <c r="G118" i="37"/>
  <c r="E118" i="37"/>
  <c r="G117" i="37"/>
  <c r="E117" i="37"/>
  <c r="G116" i="37"/>
  <c r="E116" i="37"/>
  <c r="I115" i="37"/>
  <c r="G115" i="37"/>
  <c r="E115" i="37"/>
  <c r="I114" i="37"/>
  <c r="G114" i="37"/>
  <c r="E114" i="37"/>
  <c r="M113" i="37"/>
  <c r="I113" i="37"/>
  <c r="G113" i="37"/>
  <c r="E113" i="37"/>
  <c r="I112" i="37"/>
  <c r="G112" i="37"/>
  <c r="E112" i="37"/>
  <c r="F108" i="37"/>
  <c r="E108" i="37"/>
  <c r="L108" i="37" s="1"/>
  <c r="D108" i="37"/>
  <c r="B108" i="37"/>
  <c r="F107" i="37"/>
  <c r="E107" i="37"/>
  <c r="L107" i="37" s="1"/>
  <c r="D107" i="37"/>
  <c r="B107" i="37"/>
  <c r="F106" i="37"/>
  <c r="E106" i="37"/>
  <c r="L106" i="37" s="1"/>
  <c r="D106" i="37"/>
  <c r="B106" i="37"/>
  <c r="F105" i="37"/>
  <c r="I105" i="37" s="1"/>
  <c r="E105" i="37"/>
  <c r="D105" i="37"/>
  <c r="B105" i="37"/>
  <c r="F104" i="37"/>
  <c r="E104" i="37"/>
  <c r="D104" i="37"/>
  <c r="B104" i="37"/>
  <c r="F103" i="37"/>
  <c r="I103" i="37" s="1"/>
  <c r="E103" i="37"/>
  <c r="L103" i="37" s="1"/>
  <c r="D103" i="37"/>
  <c r="B103" i="37"/>
  <c r="F102" i="37"/>
  <c r="E102" i="37"/>
  <c r="L102" i="37" s="1"/>
  <c r="D102" i="37"/>
  <c r="B102" i="37"/>
  <c r="F101" i="37"/>
  <c r="I101" i="37" s="1"/>
  <c r="E101" i="37"/>
  <c r="L101" i="37" s="1"/>
  <c r="D101" i="37"/>
  <c r="B101" i="37"/>
  <c r="F100" i="37"/>
  <c r="I100" i="37" s="1"/>
  <c r="E100" i="37"/>
  <c r="D100" i="37"/>
  <c r="B100" i="37"/>
  <c r="F99" i="37"/>
  <c r="I99" i="37" s="1"/>
  <c r="E99" i="37"/>
  <c r="L99" i="37" s="1"/>
  <c r="D99" i="37"/>
  <c r="B99" i="37"/>
  <c r="F98" i="37"/>
  <c r="I98" i="37" s="1"/>
  <c r="E98" i="37"/>
  <c r="K98" i="37" s="1"/>
  <c r="D98" i="37"/>
  <c r="B98" i="37"/>
  <c r="F97" i="37"/>
  <c r="E97" i="37"/>
  <c r="K97" i="37" s="1"/>
  <c r="D97" i="37"/>
  <c r="B97" i="37"/>
  <c r="F96" i="37"/>
  <c r="E96" i="37"/>
  <c r="K96" i="37" s="1"/>
  <c r="D96" i="37"/>
  <c r="B96" i="37"/>
  <c r="F95" i="37"/>
  <c r="I95" i="37" s="1"/>
  <c r="E95" i="37"/>
  <c r="L95" i="37" s="1"/>
  <c r="D95" i="37"/>
  <c r="B95" i="37"/>
  <c r="F94" i="37"/>
  <c r="E94" i="37"/>
  <c r="L94" i="37" s="1"/>
  <c r="D94" i="37"/>
  <c r="B94" i="37"/>
  <c r="F93" i="37"/>
  <c r="E93" i="37"/>
  <c r="D93" i="37"/>
  <c r="B93" i="37"/>
  <c r="F92" i="37"/>
  <c r="I92" i="37" s="1"/>
  <c r="E92" i="37"/>
  <c r="D92" i="37"/>
  <c r="B92" i="37"/>
  <c r="F91" i="37"/>
  <c r="I91" i="37" s="1"/>
  <c r="E91" i="37"/>
  <c r="L91" i="37" s="1"/>
  <c r="D91" i="37"/>
  <c r="B91" i="37"/>
  <c r="F90" i="37"/>
  <c r="E90" i="37"/>
  <c r="K90" i="37" s="1"/>
  <c r="D90" i="37"/>
  <c r="B90" i="37"/>
  <c r="F89" i="37"/>
  <c r="E89" i="37"/>
  <c r="K89" i="37" s="1"/>
  <c r="D89" i="37"/>
  <c r="B89" i="37"/>
  <c r="F88" i="37"/>
  <c r="E88" i="37"/>
  <c r="D88" i="37"/>
  <c r="B88" i="37"/>
  <c r="F87" i="37"/>
  <c r="I87" i="37" s="1"/>
  <c r="E87" i="37"/>
  <c r="L87" i="37" s="1"/>
  <c r="D87" i="37"/>
  <c r="B87" i="37"/>
  <c r="F86" i="37"/>
  <c r="I86" i="37" s="1"/>
  <c r="E86" i="37"/>
  <c r="K86" i="37" s="1"/>
  <c r="D86" i="37"/>
  <c r="B86" i="37"/>
  <c r="F85" i="37"/>
  <c r="E85" i="37"/>
  <c r="K85" i="37" s="1"/>
  <c r="D85" i="37"/>
  <c r="B85" i="37"/>
  <c r="F84" i="37"/>
  <c r="E84" i="37"/>
  <c r="K84" i="37" s="1"/>
  <c r="D84" i="37"/>
  <c r="B84" i="37"/>
  <c r="F83" i="37"/>
  <c r="I83" i="37" s="1"/>
  <c r="E83" i="37"/>
  <c r="L83" i="37" s="1"/>
  <c r="D83" i="37"/>
  <c r="B83" i="37"/>
  <c r="F82" i="37"/>
  <c r="E82" i="37"/>
  <c r="L82" i="37" s="1"/>
  <c r="D82" i="37"/>
  <c r="B82" i="37"/>
  <c r="F81" i="37"/>
  <c r="I81" i="37" s="1"/>
  <c r="E81" i="37"/>
  <c r="D81" i="37"/>
  <c r="B81" i="37"/>
  <c r="F80" i="37"/>
  <c r="I80" i="37" s="1"/>
  <c r="E80" i="37"/>
  <c r="D80" i="37"/>
  <c r="B80" i="37"/>
  <c r="F79" i="37"/>
  <c r="I79" i="37" s="1"/>
  <c r="E79" i="37"/>
  <c r="L79" i="37" s="1"/>
  <c r="D79" i="37"/>
  <c r="B79" i="37"/>
  <c r="F78" i="37"/>
  <c r="E78" i="37"/>
  <c r="K78" i="37" s="1"/>
  <c r="D78" i="37"/>
  <c r="B78" i="37"/>
  <c r="F77" i="37"/>
  <c r="I77" i="37" s="1"/>
  <c r="E77" i="37"/>
  <c r="K77" i="37" s="1"/>
  <c r="D77" i="37"/>
  <c r="B77" i="37"/>
  <c r="F76" i="37"/>
  <c r="E76" i="37"/>
  <c r="D76" i="37"/>
  <c r="B76" i="37"/>
  <c r="F75" i="37"/>
  <c r="I75" i="37" s="1"/>
  <c r="E75" i="37"/>
  <c r="L75" i="37" s="1"/>
  <c r="D75" i="37"/>
  <c r="B75" i="37"/>
  <c r="F74" i="37"/>
  <c r="I74" i="37" s="1"/>
  <c r="E74" i="37"/>
  <c r="K74" i="37" s="1"/>
  <c r="D74" i="37"/>
  <c r="B74" i="37"/>
  <c r="F73" i="37"/>
  <c r="E73" i="37"/>
  <c r="K73" i="37" s="1"/>
  <c r="D73" i="37"/>
  <c r="B73" i="37"/>
  <c r="F72" i="37"/>
  <c r="E72" i="37"/>
  <c r="L72" i="37" s="1"/>
  <c r="D72" i="37"/>
  <c r="B72" i="37"/>
  <c r="F71" i="37"/>
  <c r="E71" i="37"/>
  <c r="L71" i="37" s="1"/>
  <c r="D71" i="37"/>
  <c r="B71" i="37"/>
  <c r="F70" i="37"/>
  <c r="E70" i="37"/>
  <c r="K70" i="37" s="1"/>
  <c r="D70" i="37"/>
  <c r="B70" i="37"/>
  <c r="F69" i="37"/>
  <c r="I69" i="37" s="1"/>
  <c r="E69" i="37"/>
  <c r="D69" i="37"/>
  <c r="B69" i="37"/>
  <c r="F68" i="37"/>
  <c r="E68" i="37"/>
  <c r="D68" i="37"/>
  <c r="B68" i="37"/>
  <c r="F67" i="37"/>
  <c r="I67" i="37" s="1"/>
  <c r="E67" i="37"/>
  <c r="L67" i="37" s="1"/>
  <c r="D67" i="37"/>
  <c r="B67" i="37"/>
  <c r="F66" i="37"/>
  <c r="E66" i="37"/>
  <c r="L66" i="37" s="1"/>
  <c r="D66" i="37"/>
  <c r="B66" i="37"/>
  <c r="F65" i="37"/>
  <c r="E65" i="37"/>
  <c r="L65" i="37" s="1"/>
  <c r="D65" i="37"/>
  <c r="B65" i="37"/>
  <c r="F64" i="37"/>
  <c r="E64" i="37"/>
  <c r="D64" i="37"/>
  <c r="B64" i="37"/>
  <c r="F63" i="37"/>
  <c r="I63" i="37" s="1"/>
  <c r="E63" i="37"/>
  <c r="L63" i="37" s="1"/>
  <c r="D63" i="37"/>
  <c r="B63" i="37"/>
  <c r="F62" i="37"/>
  <c r="I62" i="37" s="1"/>
  <c r="E62" i="37"/>
  <c r="K62" i="37" s="1"/>
  <c r="D62" i="37"/>
  <c r="B62" i="37"/>
  <c r="F61" i="37"/>
  <c r="E61" i="37"/>
  <c r="K61" i="37" s="1"/>
  <c r="D61" i="37"/>
  <c r="B61" i="37"/>
  <c r="F60" i="37"/>
  <c r="E60" i="37"/>
  <c r="L60" i="37" s="1"/>
  <c r="D60" i="37"/>
  <c r="B60" i="37"/>
  <c r="F59" i="37"/>
  <c r="E59" i="37"/>
  <c r="L59" i="37" s="1"/>
  <c r="D59" i="37"/>
  <c r="B59" i="37"/>
  <c r="F58" i="37"/>
  <c r="I58" i="37" s="1"/>
  <c r="E58" i="37"/>
  <c r="L58" i="37" s="1"/>
  <c r="D58" i="37"/>
  <c r="B58" i="37"/>
  <c r="E57" i="37"/>
  <c r="D57" i="37"/>
  <c r="B57" i="37"/>
  <c r="F56" i="37"/>
  <c r="I56" i="37" s="1"/>
  <c r="E56" i="37"/>
  <c r="D56" i="37"/>
  <c r="B56" i="37"/>
  <c r="F55" i="37"/>
  <c r="I55" i="37" s="1"/>
  <c r="E55" i="37"/>
  <c r="L55" i="37" s="1"/>
  <c r="D55" i="37"/>
  <c r="B55" i="37"/>
  <c r="F54" i="37"/>
  <c r="I54" i="37" s="1"/>
  <c r="E54" i="37"/>
  <c r="L54" i="37" s="1"/>
  <c r="D54" i="37"/>
  <c r="B54" i="37"/>
  <c r="F53" i="37"/>
  <c r="E53" i="37"/>
  <c r="L53" i="37" s="1"/>
  <c r="D53" i="37"/>
  <c r="B53" i="37"/>
  <c r="F52" i="37"/>
  <c r="I52" i="37" s="1"/>
  <c r="E52" i="37"/>
  <c r="D52" i="37"/>
  <c r="B52" i="37"/>
  <c r="F51" i="37"/>
  <c r="E51" i="37"/>
  <c r="L51" i="37" s="1"/>
  <c r="D51" i="37"/>
  <c r="B51" i="37"/>
  <c r="F50" i="37"/>
  <c r="I50" i="37" s="1"/>
  <c r="E50" i="37"/>
  <c r="K50" i="37" s="1"/>
  <c r="D50" i="37"/>
  <c r="B50" i="37"/>
  <c r="F49" i="37"/>
  <c r="E49" i="37"/>
  <c r="K49" i="37" s="1"/>
  <c r="D49" i="37"/>
  <c r="B49" i="37"/>
  <c r="F48" i="37"/>
  <c r="E48" i="37"/>
  <c r="L48" i="37" s="1"/>
  <c r="D48" i="37"/>
  <c r="B48" i="37"/>
  <c r="F47" i="37"/>
  <c r="E47" i="37"/>
  <c r="L47" i="37" s="1"/>
  <c r="D47" i="37"/>
  <c r="B47" i="37"/>
  <c r="F46" i="37"/>
  <c r="E46" i="37"/>
  <c r="L46" i="37" s="1"/>
  <c r="D46" i="37"/>
  <c r="B46" i="37"/>
  <c r="F45" i="37"/>
  <c r="E45" i="37"/>
  <c r="D45" i="37"/>
  <c r="B45" i="37"/>
  <c r="F44" i="37"/>
  <c r="E44" i="37"/>
  <c r="D44" i="37"/>
  <c r="B44" i="37"/>
  <c r="F43" i="37"/>
  <c r="I43" i="37" s="1"/>
  <c r="E43" i="37"/>
  <c r="L43" i="37" s="1"/>
  <c r="D43" i="37"/>
  <c r="B43" i="37"/>
  <c r="F42" i="37"/>
  <c r="I42" i="37" s="1"/>
  <c r="E42" i="37"/>
  <c r="L42" i="37" s="1"/>
  <c r="D42" i="37"/>
  <c r="B42" i="37"/>
  <c r="F41" i="37"/>
  <c r="I41" i="37" s="1"/>
  <c r="E41" i="37"/>
  <c r="L41" i="37" s="1"/>
  <c r="D41" i="37"/>
  <c r="B41" i="37"/>
  <c r="F40" i="37"/>
  <c r="I40" i="37" s="1"/>
  <c r="E40" i="37"/>
  <c r="D40" i="37"/>
  <c r="B40" i="37"/>
  <c r="F39" i="37"/>
  <c r="I39" i="37" s="1"/>
  <c r="E39" i="37"/>
  <c r="L39" i="37" s="1"/>
  <c r="D39" i="37"/>
  <c r="B39" i="37"/>
  <c r="F38" i="37"/>
  <c r="I38" i="37" s="1"/>
  <c r="E38" i="37"/>
  <c r="K38" i="37" s="1"/>
  <c r="D38" i="37"/>
  <c r="B38" i="37"/>
  <c r="F37" i="37"/>
  <c r="E37" i="37"/>
  <c r="K37" i="37" s="1"/>
  <c r="D37" i="37"/>
  <c r="B37" i="37"/>
  <c r="F36" i="37"/>
  <c r="E36" i="37"/>
  <c r="K36" i="37" s="1"/>
  <c r="D36" i="37"/>
  <c r="B36" i="37"/>
  <c r="F35" i="37"/>
  <c r="E35" i="37"/>
  <c r="L35" i="37" s="1"/>
  <c r="D35" i="37"/>
  <c r="B35" i="37"/>
  <c r="F34" i="37"/>
  <c r="I34" i="37" s="1"/>
  <c r="E34" i="37"/>
  <c r="K34" i="37" s="1"/>
  <c r="D34" i="37"/>
  <c r="B34" i="37"/>
  <c r="O115" i="37"/>
  <c r="F33" i="37"/>
  <c r="I33" i="37" s="1"/>
  <c r="E33" i="37"/>
  <c r="D33" i="37"/>
  <c r="B33" i="37"/>
  <c r="F32" i="37"/>
  <c r="I32" i="37" s="1"/>
  <c r="E32" i="37"/>
  <c r="D32" i="37"/>
  <c r="B32" i="37"/>
  <c r="F31" i="37"/>
  <c r="E31" i="37"/>
  <c r="L31" i="37" s="1"/>
  <c r="D31" i="37"/>
  <c r="B31" i="37"/>
  <c r="F30" i="37"/>
  <c r="E30" i="37"/>
  <c r="K30" i="37" s="1"/>
  <c r="D30" i="37"/>
  <c r="B30" i="37"/>
  <c r="F29" i="37"/>
  <c r="I29" i="37" s="1"/>
  <c r="E29" i="37"/>
  <c r="K29" i="37" s="1"/>
  <c r="D29" i="37"/>
  <c r="B29" i="37"/>
  <c r="F28" i="37"/>
  <c r="E28" i="37"/>
  <c r="L28" i="37" s="1"/>
  <c r="D28" i="37"/>
  <c r="B28" i="37"/>
  <c r="F27" i="37"/>
  <c r="I27" i="37" s="1"/>
  <c r="E27" i="37"/>
  <c r="K27" i="37" s="1"/>
  <c r="D27" i="37"/>
  <c r="B27" i="37"/>
  <c r="F26" i="37"/>
  <c r="E26" i="37"/>
  <c r="D26" i="37"/>
  <c r="B26" i="37"/>
  <c r="F25" i="37"/>
  <c r="E25" i="37"/>
  <c r="D25" i="37"/>
  <c r="B25" i="37"/>
  <c r="F24" i="37"/>
  <c r="I24" i="37" s="1"/>
  <c r="E24" i="37"/>
  <c r="K24" i="37" s="1"/>
  <c r="D24" i="37"/>
  <c r="B24" i="37"/>
  <c r="F23" i="37"/>
  <c r="I23" i="37" s="1"/>
  <c r="E23" i="37"/>
  <c r="L23" i="37" s="1"/>
  <c r="D23" i="37"/>
  <c r="B23" i="37"/>
  <c r="I22" i="37"/>
  <c r="E22" i="37"/>
  <c r="L22" i="37" s="1"/>
  <c r="D22" i="37"/>
  <c r="B22" i="37"/>
  <c r="F21" i="37"/>
  <c r="I21" i="37" s="1"/>
  <c r="E21" i="37"/>
  <c r="D21" i="37"/>
  <c r="B21" i="37"/>
  <c r="F20" i="37"/>
  <c r="E20" i="37"/>
  <c r="L20" i="37" s="1"/>
  <c r="D20" i="37"/>
  <c r="B20" i="37"/>
  <c r="O19" i="37"/>
  <c r="F19" i="37"/>
  <c r="I19" i="37" s="1"/>
  <c r="E19" i="37"/>
  <c r="K19" i="37" s="1"/>
  <c r="D19" i="37"/>
  <c r="B19" i="37"/>
  <c r="F18" i="37"/>
  <c r="E18" i="37"/>
  <c r="K18" i="37" s="1"/>
  <c r="D18" i="37"/>
  <c r="B18" i="37"/>
  <c r="F17" i="37"/>
  <c r="E17" i="37"/>
  <c r="K17" i="37" s="1"/>
  <c r="D17" i="37"/>
  <c r="B17" i="37"/>
  <c r="F16" i="37"/>
  <c r="I16" i="37" s="1"/>
  <c r="E16" i="37"/>
  <c r="L16" i="37" s="1"/>
  <c r="D16" i="37"/>
  <c r="B16" i="37"/>
  <c r="F15" i="37"/>
  <c r="E15" i="37"/>
  <c r="K15" i="37" s="1"/>
  <c r="D15" i="37"/>
  <c r="B15" i="37"/>
  <c r="F14" i="37"/>
  <c r="E14" i="37"/>
  <c r="D14" i="37"/>
  <c r="B14" i="37"/>
  <c r="F13" i="37"/>
  <c r="E13" i="37"/>
  <c r="D13" i="37"/>
  <c r="B13" i="37"/>
  <c r="F12" i="37"/>
  <c r="I12" i="37" s="1"/>
  <c r="E12" i="37"/>
  <c r="L12" i="37" s="1"/>
  <c r="D12" i="37"/>
  <c r="B12" i="37"/>
  <c r="F11" i="37"/>
  <c r="I11" i="37" s="1"/>
  <c r="E11" i="37"/>
  <c r="L11" i="37" s="1"/>
  <c r="D11" i="37"/>
  <c r="B11" i="37"/>
  <c r="F10" i="37"/>
  <c r="E10" i="37"/>
  <c r="K10" i="37" s="1"/>
  <c r="D10" i="37"/>
  <c r="B10" i="37"/>
  <c r="F9" i="37"/>
  <c r="E9" i="37"/>
  <c r="D9" i="37"/>
  <c r="B9" i="37"/>
  <c r="F8" i="37"/>
  <c r="E8" i="37"/>
  <c r="L8" i="37" s="1"/>
  <c r="D8" i="37"/>
  <c r="B8" i="37"/>
  <c r="C5" i="37"/>
  <c r="O4" i="37"/>
  <c r="G4" i="37"/>
  <c r="C4" i="37"/>
  <c r="O3" i="37"/>
  <c r="C3" i="37"/>
  <c r="O2" i="37"/>
  <c r="E2" i="37"/>
  <c r="C2" i="37"/>
  <c r="O1" i="37"/>
  <c r="E1" i="37"/>
  <c r="C1" i="37"/>
  <c r="G121" i="36"/>
  <c r="E121" i="36"/>
  <c r="G120" i="36"/>
  <c r="E120" i="36"/>
  <c r="G119" i="36"/>
  <c r="E119" i="36"/>
  <c r="G118" i="36"/>
  <c r="E118" i="36"/>
  <c r="G117" i="36"/>
  <c r="E117" i="36"/>
  <c r="G116" i="36"/>
  <c r="E116" i="36"/>
  <c r="I115" i="36"/>
  <c r="G115" i="36"/>
  <c r="E115" i="36"/>
  <c r="I114" i="36"/>
  <c r="G114" i="36"/>
  <c r="E114" i="36"/>
  <c r="M113" i="36"/>
  <c r="I113" i="36"/>
  <c r="G113" i="36"/>
  <c r="E113" i="36"/>
  <c r="I112" i="36"/>
  <c r="G112" i="36"/>
  <c r="E112" i="36"/>
  <c r="F108" i="36"/>
  <c r="I108" i="36" s="1"/>
  <c r="E108" i="36"/>
  <c r="L108" i="36" s="1"/>
  <c r="D108" i="36"/>
  <c r="B108" i="36"/>
  <c r="F107" i="36"/>
  <c r="E107" i="36"/>
  <c r="K107" i="36" s="1"/>
  <c r="D107" i="36"/>
  <c r="B107" i="36"/>
  <c r="F106" i="36"/>
  <c r="I106" i="36" s="1"/>
  <c r="E106" i="36"/>
  <c r="L106" i="36" s="1"/>
  <c r="D106" i="36"/>
  <c r="B106" i="36"/>
  <c r="F105" i="36"/>
  <c r="E105" i="36"/>
  <c r="L105" i="36" s="1"/>
  <c r="D105" i="36"/>
  <c r="B105" i="36"/>
  <c r="F104" i="36"/>
  <c r="E104" i="36"/>
  <c r="D104" i="36"/>
  <c r="B104" i="36"/>
  <c r="F103" i="36"/>
  <c r="E103" i="36"/>
  <c r="K103" i="36" s="1"/>
  <c r="D103" i="36"/>
  <c r="B103" i="36"/>
  <c r="F102" i="36"/>
  <c r="E102" i="36"/>
  <c r="L102" i="36" s="1"/>
  <c r="D102" i="36"/>
  <c r="B102" i="36"/>
  <c r="F101" i="36"/>
  <c r="E101" i="36"/>
  <c r="L101" i="36" s="1"/>
  <c r="D101" i="36"/>
  <c r="B101" i="36"/>
  <c r="F100" i="36"/>
  <c r="I100" i="36" s="1"/>
  <c r="E100" i="36"/>
  <c r="L100" i="36" s="1"/>
  <c r="D100" i="36"/>
  <c r="B100" i="36"/>
  <c r="F99" i="36"/>
  <c r="E99" i="36"/>
  <c r="L99" i="36" s="1"/>
  <c r="D99" i="36"/>
  <c r="B99" i="36"/>
  <c r="F98" i="36"/>
  <c r="E98" i="36"/>
  <c r="L98" i="36" s="1"/>
  <c r="D98" i="36"/>
  <c r="B98" i="36"/>
  <c r="F97" i="36"/>
  <c r="I97" i="36" s="1"/>
  <c r="E97" i="36"/>
  <c r="K97" i="36" s="1"/>
  <c r="D97" i="36"/>
  <c r="B97" i="36"/>
  <c r="F96" i="36"/>
  <c r="I96" i="36" s="1"/>
  <c r="E96" i="36"/>
  <c r="L96" i="36" s="1"/>
  <c r="D96" i="36"/>
  <c r="B96" i="36"/>
  <c r="F95" i="36"/>
  <c r="I95" i="36" s="1"/>
  <c r="E95" i="36"/>
  <c r="K95" i="36" s="1"/>
  <c r="D95" i="36"/>
  <c r="B95" i="36"/>
  <c r="F94" i="36"/>
  <c r="E94" i="36"/>
  <c r="L94" i="36" s="1"/>
  <c r="D94" i="36"/>
  <c r="B94" i="36"/>
  <c r="F93" i="36"/>
  <c r="I93" i="36" s="1"/>
  <c r="E93" i="36"/>
  <c r="D93" i="36"/>
  <c r="B93" i="36"/>
  <c r="F92" i="36"/>
  <c r="I92" i="36" s="1"/>
  <c r="E92" i="36"/>
  <c r="L92" i="36" s="1"/>
  <c r="D92" i="36"/>
  <c r="B92" i="36"/>
  <c r="F91" i="36"/>
  <c r="E91" i="36"/>
  <c r="K91" i="36" s="1"/>
  <c r="D91" i="36"/>
  <c r="B91" i="36"/>
  <c r="F90" i="36"/>
  <c r="E90" i="36"/>
  <c r="L90" i="36" s="1"/>
  <c r="D90" i="36"/>
  <c r="B90" i="36"/>
  <c r="F89" i="36"/>
  <c r="E89" i="36"/>
  <c r="L89" i="36" s="1"/>
  <c r="D89" i="36"/>
  <c r="B89" i="36"/>
  <c r="F88" i="36"/>
  <c r="I88" i="36" s="1"/>
  <c r="E88" i="36"/>
  <c r="L88" i="36" s="1"/>
  <c r="D88" i="36"/>
  <c r="B88" i="36"/>
  <c r="F87" i="36"/>
  <c r="I87" i="36" s="1"/>
  <c r="E87" i="36"/>
  <c r="L87" i="36" s="1"/>
  <c r="D87" i="36"/>
  <c r="B87" i="36"/>
  <c r="F86" i="36"/>
  <c r="E86" i="36"/>
  <c r="L86" i="36" s="1"/>
  <c r="D86" i="36"/>
  <c r="B86" i="36"/>
  <c r="F85" i="36"/>
  <c r="I85" i="36" s="1"/>
  <c r="E85" i="36"/>
  <c r="K85" i="36" s="1"/>
  <c r="D85" i="36"/>
  <c r="B85" i="36"/>
  <c r="F84" i="36"/>
  <c r="I84" i="36" s="1"/>
  <c r="E84" i="36"/>
  <c r="L84" i="36" s="1"/>
  <c r="D84" i="36"/>
  <c r="B84" i="36"/>
  <c r="F83" i="36"/>
  <c r="I83" i="36" s="1"/>
  <c r="E83" i="36"/>
  <c r="D83" i="36"/>
  <c r="B83" i="36"/>
  <c r="F82" i="36"/>
  <c r="I82" i="36" s="1"/>
  <c r="E82" i="36"/>
  <c r="K82" i="36" s="1"/>
  <c r="D82" i="36"/>
  <c r="B82" i="36"/>
  <c r="F81" i="36"/>
  <c r="E81" i="36"/>
  <c r="K81" i="36" s="1"/>
  <c r="D81" i="36"/>
  <c r="B81" i="36"/>
  <c r="F80" i="36"/>
  <c r="I80" i="36" s="1"/>
  <c r="E80" i="36"/>
  <c r="D80" i="36"/>
  <c r="B80" i="36"/>
  <c r="F79" i="36"/>
  <c r="E79" i="36"/>
  <c r="D79" i="36"/>
  <c r="B79" i="36"/>
  <c r="F78" i="36"/>
  <c r="E78" i="36"/>
  <c r="L78" i="36" s="1"/>
  <c r="D78" i="36"/>
  <c r="B78" i="36"/>
  <c r="F77" i="36"/>
  <c r="E77" i="36"/>
  <c r="L77" i="36" s="1"/>
  <c r="D77" i="36"/>
  <c r="B77" i="36"/>
  <c r="F76" i="36"/>
  <c r="I76" i="36" s="1"/>
  <c r="E76" i="36"/>
  <c r="D76" i="36"/>
  <c r="B76" i="36"/>
  <c r="F75" i="36"/>
  <c r="E75" i="36"/>
  <c r="L75" i="36" s="1"/>
  <c r="D75" i="36"/>
  <c r="B75" i="36"/>
  <c r="F74" i="36"/>
  <c r="E74" i="36"/>
  <c r="L74" i="36" s="1"/>
  <c r="D74" i="36"/>
  <c r="B74" i="36"/>
  <c r="F73" i="36"/>
  <c r="E73" i="36"/>
  <c r="L73" i="36" s="1"/>
  <c r="D73" i="36"/>
  <c r="B73" i="36"/>
  <c r="F72" i="36"/>
  <c r="E72" i="36"/>
  <c r="D72" i="36"/>
  <c r="B72" i="36"/>
  <c r="F71" i="36"/>
  <c r="I71" i="36" s="1"/>
  <c r="E71" i="36"/>
  <c r="K71" i="36" s="1"/>
  <c r="D71" i="36"/>
  <c r="B71" i="36"/>
  <c r="F70" i="36"/>
  <c r="I70" i="36" s="1"/>
  <c r="E70" i="36"/>
  <c r="L70" i="36" s="1"/>
  <c r="D70" i="36"/>
  <c r="B70" i="36"/>
  <c r="F69" i="36"/>
  <c r="E69" i="36"/>
  <c r="K69" i="36" s="1"/>
  <c r="D69" i="36"/>
  <c r="B69" i="36"/>
  <c r="F68" i="36"/>
  <c r="I68" i="36" s="1"/>
  <c r="E68" i="36"/>
  <c r="D68" i="36"/>
  <c r="B68" i="36"/>
  <c r="F67" i="36"/>
  <c r="E67" i="36"/>
  <c r="K67" i="36" s="1"/>
  <c r="D67" i="36"/>
  <c r="B67" i="36"/>
  <c r="F66" i="36"/>
  <c r="E66" i="36"/>
  <c r="L66" i="36" s="1"/>
  <c r="D66" i="36"/>
  <c r="B66" i="36"/>
  <c r="F65" i="36"/>
  <c r="E65" i="36"/>
  <c r="L65" i="36" s="1"/>
  <c r="D65" i="36"/>
  <c r="B65" i="36"/>
  <c r="F64" i="36"/>
  <c r="I64" i="36" s="1"/>
  <c r="E64" i="36"/>
  <c r="K64" i="36" s="1"/>
  <c r="D64" i="36"/>
  <c r="B64" i="36"/>
  <c r="F63" i="36"/>
  <c r="I63" i="36" s="1"/>
  <c r="E63" i="36"/>
  <c r="L63" i="36" s="1"/>
  <c r="D63" i="36"/>
  <c r="B63" i="36"/>
  <c r="F62" i="36"/>
  <c r="E62" i="36"/>
  <c r="L62" i="36" s="1"/>
  <c r="D62" i="36"/>
  <c r="B62" i="36"/>
  <c r="F61" i="36"/>
  <c r="E61" i="36"/>
  <c r="K61" i="36" s="1"/>
  <c r="D61" i="36"/>
  <c r="B61" i="36"/>
  <c r="F60" i="36"/>
  <c r="I60" i="36" s="1"/>
  <c r="E60" i="36"/>
  <c r="L60" i="36" s="1"/>
  <c r="D60" i="36"/>
  <c r="B60" i="36"/>
  <c r="F59" i="36"/>
  <c r="I59" i="36" s="1"/>
  <c r="E59" i="36"/>
  <c r="K59" i="36" s="1"/>
  <c r="D59" i="36"/>
  <c r="B59" i="36"/>
  <c r="F58" i="36"/>
  <c r="E58" i="36"/>
  <c r="K58" i="36" s="1"/>
  <c r="D58" i="36"/>
  <c r="B58" i="36"/>
  <c r="F57" i="36"/>
  <c r="E57" i="36"/>
  <c r="L57" i="36" s="1"/>
  <c r="D57" i="36"/>
  <c r="B57" i="36"/>
  <c r="F56" i="36"/>
  <c r="I56" i="36" s="1"/>
  <c r="E56" i="36"/>
  <c r="K56" i="36" s="1"/>
  <c r="D56" i="36"/>
  <c r="B56" i="36"/>
  <c r="F55" i="36"/>
  <c r="E55" i="36"/>
  <c r="D55" i="36"/>
  <c r="B55" i="36"/>
  <c r="F54" i="36"/>
  <c r="E54" i="36"/>
  <c r="L54" i="36" s="1"/>
  <c r="D54" i="36"/>
  <c r="B54" i="36"/>
  <c r="F53" i="36"/>
  <c r="E53" i="36"/>
  <c r="L53" i="36" s="1"/>
  <c r="D53" i="36"/>
  <c r="B53" i="36"/>
  <c r="F52" i="36"/>
  <c r="I52" i="36" s="1"/>
  <c r="E52" i="36"/>
  <c r="L52" i="36" s="1"/>
  <c r="D52" i="36"/>
  <c r="B52" i="36"/>
  <c r="F51" i="36"/>
  <c r="I51" i="36" s="1"/>
  <c r="E51" i="36"/>
  <c r="L51" i="36" s="1"/>
  <c r="D51" i="36"/>
  <c r="B51" i="36"/>
  <c r="F50" i="36"/>
  <c r="E50" i="36"/>
  <c r="L50" i="36" s="1"/>
  <c r="D50" i="36"/>
  <c r="B50" i="36"/>
  <c r="F49" i="36"/>
  <c r="E49" i="36"/>
  <c r="D49" i="36"/>
  <c r="B49" i="36"/>
  <c r="F48" i="36"/>
  <c r="I48" i="36" s="1"/>
  <c r="E48" i="36"/>
  <c r="K48" i="36" s="1"/>
  <c r="D48" i="36"/>
  <c r="B48" i="36"/>
  <c r="F47" i="36"/>
  <c r="I47" i="36" s="1"/>
  <c r="E47" i="36"/>
  <c r="D47" i="36"/>
  <c r="B47" i="36"/>
  <c r="F46" i="36"/>
  <c r="E46" i="36"/>
  <c r="K46" i="36" s="1"/>
  <c r="D46" i="36"/>
  <c r="B46" i="36"/>
  <c r="F45" i="36"/>
  <c r="E45" i="36"/>
  <c r="L45" i="36" s="1"/>
  <c r="D45" i="36"/>
  <c r="B45" i="36"/>
  <c r="F44" i="36"/>
  <c r="I44" i="36" s="1"/>
  <c r="E44" i="36"/>
  <c r="D44" i="36"/>
  <c r="B44" i="36"/>
  <c r="F43" i="36"/>
  <c r="E43" i="36"/>
  <c r="K43" i="36" s="1"/>
  <c r="D43" i="36"/>
  <c r="B43" i="36"/>
  <c r="F42" i="36"/>
  <c r="E42" i="36"/>
  <c r="L42" i="36" s="1"/>
  <c r="D42" i="36"/>
  <c r="B42" i="36"/>
  <c r="F41" i="36"/>
  <c r="I41" i="36" s="1"/>
  <c r="E41" i="36"/>
  <c r="D41" i="36"/>
  <c r="B41" i="36"/>
  <c r="F40" i="36"/>
  <c r="I40" i="36" s="1"/>
  <c r="E40" i="36"/>
  <c r="L40" i="36" s="1"/>
  <c r="D40" i="36"/>
  <c r="B40" i="36"/>
  <c r="F39" i="36"/>
  <c r="I39" i="36" s="1"/>
  <c r="E39" i="36"/>
  <c r="L39" i="36" s="1"/>
  <c r="D39" i="36"/>
  <c r="B39" i="36"/>
  <c r="F38" i="36"/>
  <c r="E38" i="36"/>
  <c r="L38" i="36" s="1"/>
  <c r="D38" i="36"/>
  <c r="B38" i="36"/>
  <c r="F37" i="36"/>
  <c r="E37" i="36"/>
  <c r="L37" i="36" s="1"/>
  <c r="D37" i="36"/>
  <c r="B37" i="36"/>
  <c r="F36" i="36"/>
  <c r="I36" i="36" s="1"/>
  <c r="E36" i="36"/>
  <c r="L36" i="36" s="1"/>
  <c r="D36" i="36"/>
  <c r="B36" i="36"/>
  <c r="F35" i="36"/>
  <c r="I35" i="36" s="1"/>
  <c r="E35" i="36"/>
  <c r="K35" i="36" s="1"/>
  <c r="D35" i="36"/>
  <c r="B35" i="36"/>
  <c r="F34" i="36"/>
  <c r="I34" i="36" s="1"/>
  <c r="E34" i="36"/>
  <c r="K34" i="36" s="1"/>
  <c r="D34" i="36"/>
  <c r="B34" i="36"/>
  <c r="O33" i="36"/>
  <c r="O115" i="36" s="1"/>
  <c r="F33" i="36"/>
  <c r="E33" i="36"/>
  <c r="D33" i="36"/>
  <c r="B33" i="36"/>
  <c r="F32" i="36"/>
  <c r="E32" i="36"/>
  <c r="K32" i="36" s="1"/>
  <c r="D32" i="36"/>
  <c r="B32" i="36"/>
  <c r="F31" i="36"/>
  <c r="E31" i="36"/>
  <c r="L31" i="36" s="1"/>
  <c r="D31" i="36"/>
  <c r="B31" i="36"/>
  <c r="F30" i="36"/>
  <c r="I30" i="36" s="1"/>
  <c r="E30" i="36"/>
  <c r="K30" i="36" s="1"/>
  <c r="D30" i="36"/>
  <c r="B30" i="36"/>
  <c r="F29" i="36"/>
  <c r="E29" i="36"/>
  <c r="D29" i="36"/>
  <c r="B29" i="36"/>
  <c r="F28" i="36"/>
  <c r="E28" i="36"/>
  <c r="L28" i="36" s="1"/>
  <c r="D28" i="36"/>
  <c r="B28" i="36"/>
  <c r="F27" i="36"/>
  <c r="E27" i="36"/>
  <c r="L27" i="36" s="1"/>
  <c r="D27" i="36"/>
  <c r="B27" i="36"/>
  <c r="F26" i="36"/>
  <c r="E26" i="36"/>
  <c r="L26" i="36" s="1"/>
  <c r="D26" i="36"/>
  <c r="B26" i="36"/>
  <c r="F25" i="36"/>
  <c r="E25" i="36"/>
  <c r="D25" i="36"/>
  <c r="B25" i="36"/>
  <c r="F24" i="36"/>
  <c r="I24" i="36" s="1"/>
  <c r="E24" i="36"/>
  <c r="L24" i="36" s="1"/>
  <c r="D24" i="36"/>
  <c r="B24" i="36"/>
  <c r="F23" i="36"/>
  <c r="E23" i="36"/>
  <c r="L23" i="36" s="1"/>
  <c r="D23" i="36"/>
  <c r="B23" i="36"/>
  <c r="F22" i="36"/>
  <c r="E22" i="36"/>
  <c r="L22" i="36" s="1"/>
  <c r="D22" i="36"/>
  <c r="B22" i="36"/>
  <c r="F21" i="36"/>
  <c r="E21" i="36"/>
  <c r="L21" i="36" s="1"/>
  <c r="D21" i="36"/>
  <c r="B21" i="36"/>
  <c r="F20" i="36"/>
  <c r="E20" i="36"/>
  <c r="K20" i="36" s="1"/>
  <c r="D20" i="36"/>
  <c r="B20" i="36"/>
  <c r="O19" i="36"/>
  <c r="F19" i="36"/>
  <c r="E19" i="36"/>
  <c r="L19" i="36" s="1"/>
  <c r="D19" i="36"/>
  <c r="B19" i="36"/>
  <c r="F18" i="36"/>
  <c r="E18" i="36"/>
  <c r="D18" i="36"/>
  <c r="B18" i="36"/>
  <c r="F17" i="36"/>
  <c r="I17" i="36" s="1"/>
  <c r="E17" i="36"/>
  <c r="D17" i="36"/>
  <c r="B17" i="36"/>
  <c r="F16" i="36"/>
  <c r="I16" i="36" s="1"/>
  <c r="E16" i="36"/>
  <c r="K16" i="36" s="1"/>
  <c r="D16" i="36"/>
  <c r="B16" i="36"/>
  <c r="F15" i="36"/>
  <c r="E15" i="36"/>
  <c r="K15" i="36" s="1"/>
  <c r="D15" i="36"/>
  <c r="B15" i="36"/>
  <c r="F14" i="36"/>
  <c r="I14" i="36" s="1"/>
  <c r="E14" i="36"/>
  <c r="L14" i="36" s="1"/>
  <c r="D14" i="36"/>
  <c r="B14" i="36"/>
  <c r="F13" i="36"/>
  <c r="I13" i="36" s="1"/>
  <c r="E13" i="36"/>
  <c r="D13" i="36"/>
  <c r="B13" i="36"/>
  <c r="F12" i="36"/>
  <c r="E12" i="36"/>
  <c r="K12" i="36" s="1"/>
  <c r="D12" i="36"/>
  <c r="B12" i="36"/>
  <c r="F11" i="36"/>
  <c r="E11" i="36"/>
  <c r="L11" i="36" s="1"/>
  <c r="D11" i="36"/>
  <c r="B11" i="36"/>
  <c r="F10" i="36"/>
  <c r="E10" i="36"/>
  <c r="D10" i="36"/>
  <c r="B10" i="36"/>
  <c r="F9" i="36"/>
  <c r="I9" i="36" s="1"/>
  <c r="E9" i="36"/>
  <c r="D9" i="36"/>
  <c r="B9" i="36"/>
  <c r="F8" i="36"/>
  <c r="E8" i="36"/>
  <c r="L8" i="36" s="1"/>
  <c r="D8" i="36"/>
  <c r="B8" i="36"/>
  <c r="C5" i="36"/>
  <c r="O4" i="36"/>
  <c r="O5" i="36" s="1"/>
  <c r="O122" i="36" s="1"/>
  <c r="G4" i="36"/>
  <c r="C4" i="36"/>
  <c r="O3" i="36"/>
  <c r="C3" i="36"/>
  <c r="O2" i="36"/>
  <c r="E2" i="36"/>
  <c r="C2" i="36"/>
  <c r="O1" i="36"/>
  <c r="E1" i="36"/>
  <c r="C1" i="36"/>
  <c r="H128" i="35"/>
  <c r="G121" i="35"/>
  <c r="E121" i="35"/>
  <c r="G120" i="35"/>
  <c r="E120" i="35"/>
  <c r="G119" i="35"/>
  <c r="E119" i="35"/>
  <c r="G118" i="35"/>
  <c r="E118" i="35"/>
  <c r="G117" i="35"/>
  <c r="E117" i="35"/>
  <c r="G116" i="35"/>
  <c r="E116" i="35"/>
  <c r="I115" i="35"/>
  <c r="G115" i="35"/>
  <c r="E115" i="35"/>
  <c r="I114" i="35"/>
  <c r="G114" i="35"/>
  <c r="E114" i="35"/>
  <c r="M113" i="35"/>
  <c r="I113" i="35"/>
  <c r="G113" i="35"/>
  <c r="E113" i="35"/>
  <c r="I112" i="35"/>
  <c r="G112" i="35"/>
  <c r="E112" i="35"/>
  <c r="F108" i="35"/>
  <c r="I108" i="35" s="1"/>
  <c r="E108" i="35"/>
  <c r="K108" i="35" s="1"/>
  <c r="D108" i="35"/>
  <c r="B108" i="35"/>
  <c r="F107" i="35"/>
  <c r="E107" i="35"/>
  <c r="L107" i="35" s="1"/>
  <c r="D107" i="35"/>
  <c r="B107" i="35"/>
  <c r="F106" i="35"/>
  <c r="I106" i="35" s="1"/>
  <c r="E106" i="35"/>
  <c r="D106" i="35"/>
  <c r="B106" i="35"/>
  <c r="F105" i="35"/>
  <c r="I105" i="35" s="1"/>
  <c r="E105" i="35"/>
  <c r="L105" i="35" s="1"/>
  <c r="D105" i="35"/>
  <c r="B105" i="35"/>
  <c r="F104" i="35"/>
  <c r="I104" i="35" s="1"/>
  <c r="E104" i="35"/>
  <c r="L104" i="35" s="1"/>
  <c r="D104" i="35"/>
  <c r="B104" i="35"/>
  <c r="F103" i="35"/>
  <c r="E103" i="35"/>
  <c r="K103" i="35" s="1"/>
  <c r="D103" i="35"/>
  <c r="B103" i="35"/>
  <c r="F102" i="35"/>
  <c r="I102" i="35" s="1"/>
  <c r="E102" i="35"/>
  <c r="D102" i="35"/>
  <c r="B102" i="35"/>
  <c r="F101" i="35"/>
  <c r="I101" i="35" s="1"/>
  <c r="E101" i="35"/>
  <c r="K101" i="35" s="1"/>
  <c r="D101" i="35"/>
  <c r="B101" i="35"/>
  <c r="F100" i="35"/>
  <c r="E100" i="35"/>
  <c r="K100" i="35" s="1"/>
  <c r="D100" i="35"/>
  <c r="B100" i="35"/>
  <c r="F99" i="35"/>
  <c r="I99" i="35" s="1"/>
  <c r="E99" i="35"/>
  <c r="L99" i="35" s="1"/>
  <c r="D99" i="35"/>
  <c r="B99" i="35"/>
  <c r="F98" i="35"/>
  <c r="E98" i="35"/>
  <c r="D98" i="35"/>
  <c r="B98" i="35"/>
  <c r="F97" i="35"/>
  <c r="E97" i="35"/>
  <c r="L97" i="35" s="1"/>
  <c r="D97" i="35"/>
  <c r="B97" i="35"/>
  <c r="F96" i="35"/>
  <c r="I96" i="35" s="1"/>
  <c r="E96" i="35"/>
  <c r="L96" i="35" s="1"/>
  <c r="D96" i="35"/>
  <c r="B96" i="35"/>
  <c r="F95" i="35"/>
  <c r="I95" i="35" s="1"/>
  <c r="E95" i="35"/>
  <c r="L95" i="35" s="1"/>
  <c r="D95" i="35"/>
  <c r="B95" i="35"/>
  <c r="F94" i="35"/>
  <c r="E94" i="35"/>
  <c r="L94" i="35" s="1"/>
  <c r="D94" i="35"/>
  <c r="B94" i="35"/>
  <c r="F93" i="35"/>
  <c r="E93" i="35"/>
  <c r="L93" i="35" s="1"/>
  <c r="D93" i="35"/>
  <c r="B93" i="35"/>
  <c r="F92" i="35"/>
  <c r="I92" i="35" s="1"/>
  <c r="E92" i="35"/>
  <c r="K92" i="35" s="1"/>
  <c r="D92" i="35"/>
  <c r="B92" i="35"/>
  <c r="F91" i="35"/>
  <c r="E91" i="35"/>
  <c r="K91" i="35" s="1"/>
  <c r="D91" i="35"/>
  <c r="B91" i="35"/>
  <c r="F90" i="35"/>
  <c r="E90" i="35"/>
  <c r="K90" i="35" s="1"/>
  <c r="D90" i="35"/>
  <c r="B90" i="35"/>
  <c r="F89" i="35"/>
  <c r="I89" i="35" s="1"/>
  <c r="E89" i="35"/>
  <c r="L89" i="35" s="1"/>
  <c r="D89" i="35"/>
  <c r="B89" i="35"/>
  <c r="F88" i="35"/>
  <c r="I88" i="35" s="1"/>
  <c r="E88" i="35"/>
  <c r="L88" i="35" s="1"/>
  <c r="D88" i="35"/>
  <c r="B88" i="35"/>
  <c r="F87" i="35"/>
  <c r="I87" i="35" s="1"/>
  <c r="E87" i="35"/>
  <c r="L87" i="35" s="1"/>
  <c r="D87" i="35"/>
  <c r="B87" i="35"/>
  <c r="F86" i="35"/>
  <c r="E86" i="35"/>
  <c r="D86" i="35"/>
  <c r="B86" i="35"/>
  <c r="F85" i="35"/>
  <c r="I85" i="35" s="1"/>
  <c r="E85" i="35"/>
  <c r="K85" i="35" s="1"/>
  <c r="D85" i="35"/>
  <c r="B85" i="35"/>
  <c r="F84" i="35"/>
  <c r="I84" i="35" s="1"/>
  <c r="E84" i="35"/>
  <c r="L84" i="35" s="1"/>
  <c r="D84" i="35"/>
  <c r="B84" i="35"/>
  <c r="F83" i="35"/>
  <c r="I83" i="35" s="1"/>
  <c r="E83" i="35"/>
  <c r="L83" i="35" s="1"/>
  <c r="D83" i="35"/>
  <c r="B83" i="35"/>
  <c r="F82" i="35"/>
  <c r="E82" i="35"/>
  <c r="L82" i="35" s="1"/>
  <c r="D82" i="35"/>
  <c r="B82" i="35"/>
  <c r="F81" i="35"/>
  <c r="I81" i="35" s="1"/>
  <c r="E81" i="35"/>
  <c r="L81" i="35" s="1"/>
  <c r="D81" i="35"/>
  <c r="B81" i="35"/>
  <c r="F80" i="35"/>
  <c r="I80" i="35" s="1"/>
  <c r="E80" i="35"/>
  <c r="D80" i="35"/>
  <c r="B80" i="35"/>
  <c r="F79" i="35"/>
  <c r="E79" i="35"/>
  <c r="K79" i="35" s="1"/>
  <c r="D79" i="35"/>
  <c r="B79" i="35"/>
  <c r="F78" i="35"/>
  <c r="I78" i="35" s="1"/>
  <c r="E78" i="35"/>
  <c r="D78" i="35"/>
  <c r="B78" i="35"/>
  <c r="F77" i="35"/>
  <c r="I77" i="35" s="1"/>
  <c r="E77" i="35"/>
  <c r="K77" i="35" s="1"/>
  <c r="D77" i="35"/>
  <c r="B77" i="35"/>
  <c r="F76" i="35"/>
  <c r="I76" i="35" s="1"/>
  <c r="E76" i="35"/>
  <c r="L76" i="35" s="1"/>
  <c r="D76" i="35"/>
  <c r="B76" i="35"/>
  <c r="F75" i="35"/>
  <c r="I75" i="35" s="1"/>
  <c r="E75" i="35"/>
  <c r="L75" i="35" s="1"/>
  <c r="D75" i="35"/>
  <c r="B75" i="35"/>
  <c r="F74" i="35"/>
  <c r="E74" i="35"/>
  <c r="D74" i="35"/>
  <c r="B74" i="35"/>
  <c r="F73" i="35"/>
  <c r="E73" i="35"/>
  <c r="L73" i="35" s="1"/>
  <c r="D73" i="35"/>
  <c r="B73" i="35"/>
  <c r="F72" i="35"/>
  <c r="I72" i="35" s="1"/>
  <c r="E72" i="35"/>
  <c r="K72" i="35" s="1"/>
  <c r="D72" i="35"/>
  <c r="B72" i="35"/>
  <c r="F71" i="35"/>
  <c r="I71" i="35" s="1"/>
  <c r="E71" i="35"/>
  <c r="L71" i="35" s="1"/>
  <c r="D71" i="35"/>
  <c r="B71" i="35"/>
  <c r="F70" i="35"/>
  <c r="E70" i="35"/>
  <c r="L70" i="35" s="1"/>
  <c r="D70" i="35"/>
  <c r="B70" i="35"/>
  <c r="F69" i="35"/>
  <c r="I69" i="35" s="1"/>
  <c r="E69" i="35"/>
  <c r="L69" i="35" s="1"/>
  <c r="D69" i="35"/>
  <c r="B69" i="35"/>
  <c r="F68" i="35"/>
  <c r="I68" i="35" s="1"/>
  <c r="E68" i="35"/>
  <c r="L68" i="35" s="1"/>
  <c r="D68" i="35"/>
  <c r="B68" i="35"/>
  <c r="F67" i="35"/>
  <c r="E67" i="35"/>
  <c r="K67" i="35" s="1"/>
  <c r="D67" i="35"/>
  <c r="B67" i="35"/>
  <c r="F66" i="35"/>
  <c r="I66" i="35" s="1"/>
  <c r="E66" i="35"/>
  <c r="L66" i="35" s="1"/>
  <c r="D66" i="35"/>
  <c r="B66" i="35"/>
  <c r="F65" i="35"/>
  <c r="I65" i="35" s="1"/>
  <c r="E65" i="35"/>
  <c r="L65" i="35" s="1"/>
  <c r="D65" i="35"/>
  <c r="B65" i="35"/>
  <c r="F64" i="35"/>
  <c r="I64" i="35" s="1"/>
  <c r="E64" i="35"/>
  <c r="L64" i="35" s="1"/>
  <c r="D64" i="35"/>
  <c r="B64" i="35"/>
  <c r="F63" i="35"/>
  <c r="E63" i="35"/>
  <c r="K63" i="35" s="1"/>
  <c r="D63" i="35"/>
  <c r="B63" i="35"/>
  <c r="F62" i="35"/>
  <c r="E62" i="35"/>
  <c r="D62" i="35"/>
  <c r="B62" i="35"/>
  <c r="F61" i="35"/>
  <c r="E61" i="35"/>
  <c r="K61" i="35" s="1"/>
  <c r="D61" i="35"/>
  <c r="B61" i="35"/>
  <c r="F60" i="35"/>
  <c r="I60" i="35" s="1"/>
  <c r="E60" i="35"/>
  <c r="D60" i="35"/>
  <c r="B60" i="35"/>
  <c r="F59" i="35"/>
  <c r="I59" i="35" s="1"/>
  <c r="E59" i="35"/>
  <c r="K59" i="35" s="1"/>
  <c r="D59" i="35"/>
  <c r="B59" i="35"/>
  <c r="F58" i="35"/>
  <c r="I58" i="35" s="1"/>
  <c r="E58" i="35"/>
  <c r="K58" i="35" s="1"/>
  <c r="D58" i="35"/>
  <c r="B58" i="35"/>
  <c r="F57" i="35"/>
  <c r="I57" i="35" s="1"/>
  <c r="E57" i="35"/>
  <c r="K57" i="35" s="1"/>
  <c r="D57" i="35"/>
  <c r="B57" i="35"/>
  <c r="F56" i="35"/>
  <c r="E56" i="35"/>
  <c r="K56" i="35" s="1"/>
  <c r="D56" i="35"/>
  <c r="B56" i="35"/>
  <c r="F55" i="35"/>
  <c r="E55" i="35"/>
  <c r="K55" i="35" s="1"/>
  <c r="D55" i="35"/>
  <c r="B55" i="35"/>
  <c r="F54" i="35"/>
  <c r="E54" i="35"/>
  <c r="L54" i="35" s="1"/>
  <c r="D54" i="35"/>
  <c r="B54" i="35"/>
  <c r="F53" i="35"/>
  <c r="E53" i="35"/>
  <c r="L53" i="35" s="1"/>
  <c r="D53" i="35"/>
  <c r="B53" i="35"/>
  <c r="F52" i="35"/>
  <c r="E52" i="35"/>
  <c r="L52" i="35" s="1"/>
  <c r="D52" i="35"/>
  <c r="B52" i="35"/>
  <c r="F51" i="35"/>
  <c r="I51" i="35" s="1"/>
  <c r="E51" i="35"/>
  <c r="D51" i="35"/>
  <c r="B51" i="35"/>
  <c r="F50" i="35"/>
  <c r="I50" i="35" s="1"/>
  <c r="E50" i="35"/>
  <c r="D50" i="35"/>
  <c r="B50" i="35"/>
  <c r="F49" i="35"/>
  <c r="E49" i="35"/>
  <c r="L49" i="35" s="1"/>
  <c r="D49" i="35"/>
  <c r="B49" i="35"/>
  <c r="F48" i="35"/>
  <c r="I48" i="35" s="1"/>
  <c r="E48" i="35"/>
  <c r="D48" i="35"/>
  <c r="B48" i="35"/>
  <c r="F47" i="35"/>
  <c r="I47" i="35" s="1"/>
  <c r="E47" i="35"/>
  <c r="L47" i="35" s="1"/>
  <c r="D47" i="35"/>
  <c r="B47" i="35"/>
  <c r="F46" i="35"/>
  <c r="E46" i="35"/>
  <c r="K46" i="35" s="1"/>
  <c r="D46" i="35"/>
  <c r="B46" i="35"/>
  <c r="F45" i="35"/>
  <c r="E45" i="35"/>
  <c r="L45" i="35" s="1"/>
  <c r="D45" i="35"/>
  <c r="B45" i="35"/>
  <c r="F44" i="35"/>
  <c r="I44" i="35" s="1"/>
  <c r="E44" i="35"/>
  <c r="L44" i="35" s="1"/>
  <c r="D44" i="35"/>
  <c r="B44" i="35"/>
  <c r="F43" i="35"/>
  <c r="E43" i="35"/>
  <c r="K43" i="35" s="1"/>
  <c r="D43" i="35"/>
  <c r="B43" i="35"/>
  <c r="F42" i="35"/>
  <c r="E42" i="35"/>
  <c r="K42" i="35" s="1"/>
  <c r="D42" i="35"/>
  <c r="B42" i="35"/>
  <c r="F41" i="35"/>
  <c r="E41" i="35"/>
  <c r="L41" i="35" s="1"/>
  <c r="D41" i="35"/>
  <c r="B41" i="35"/>
  <c r="F40" i="35"/>
  <c r="I40" i="35" s="1"/>
  <c r="E40" i="35"/>
  <c r="L40" i="35" s="1"/>
  <c r="D40" i="35"/>
  <c r="B40" i="35"/>
  <c r="F39" i="35"/>
  <c r="I39" i="35" s="1"/>
  <c r="E39" i="35"/>
  <c r="K39" i="35" s="1"/>
  <c r="D39" i="35"/>
  <c r="B39" i="35"/>
  <c r="F38" i="35"/>
  <c r="I38" i="35" s="1"/>
  <c r="E38" i="35"/>
  <c r="D38" i="35"/>
  <c r="B38" i="35"/>
  <c r="F37" i="35"/>
  <c r="E37" i="35"/>
  <c r="K37" i="35" s="1"/>
  <c r="D37" i="35"/>
  <c r="B37" i="35"/>
  <c r="F36" i="35"/>
  <c r="I36" i="35" s="1"/>
  <c r="E36" i="35"/>
  <c r="L36" i="35" s="1"/>
  <c r="D36" i="35"/>
  <c r="B36" i="35"/>
  <c r="F35" i="35"/>
  <c r="I35" i="35" s="1"/>
  <c r="E35" i="35"/>
  <c r="L35" i="35" s="1"/>
  <c r="D35" i="35"/>
  <c r="B35" i="35"/>
  <c r="F34" i="35"/>
  <c r="I34" i="35" s="1"/>
  <c r="E34" i="35"/>
  <c r="L34" i="35" s="1"/>
  <c r="D34" i="35"/>
  <c r="B34" i="35"/>
  <c r="O33" i="35"/>
  <c r="O115" i="35" s="1"/>
  <c r="F33" i="35"/>
  <c r="E33" i="35"/>
  <c r="L33" i="35" s="1"/>
  <c r="D33" i="35"/>
  <c r="B33" i="35"/>
  <c r="F32" i="35"/>
  <c r="E32" i="35"/>
  <c r="L32" i="35" s="1"/>
  <c r="D32" i="35"/>
  <c r="B32" i="35"/>
  <c r="F31" i="35"/>
  <c r="E31" i="35"/>
  <c r="D31" i="35"/>
  <c r="B31" i="35"/>
  <c r="F30" i="35"/>
  <c r="E30" i="35"/>
  <c r="K30" i="35" s="1"/>
  <c r="D30" i="35"/>
  <c r="B30" i="35"/>
  <c r="F29" i="35"/>
  <c r="E29" i="35"/>
  <c r="K29" i="35" s="1"/>
  <c r="D29" i="35"/>
  <c r="B29" i="35"/>
  <c r="F28" i="35"/>
  <c r="E28" i="35"/>
  <c r="L28" i="35" s="1"/>
  <c r="D28" i="35"/>
  <c r="B28" i="35"/>
  <c r="F27" i="35"/>
  <c r="I27" i="35" s="1"/>
  <c r="E27" i="35"/>
  <c r="K27" i="35" s="1"/>
  <c r="D27" i="35"/>
  <c r="B27" i="35"/>
  <c r="F26" i="35"/>
  <c r="I26" i="35" s="1"/>
  <c r="E26" i="35"/>
  <c r="L26" i="35" s="1"/>
  <c r="D26" i="35"/>
  <c r="B26" i="35"/>
  <c r="F25" i="35"/>
  <c r="E25" i="35"/>
  <c r="L25" i="35" s="1"/>
  <c r="D25" i="35"/>
  <c r="B25" i="35"/>
  <c r="F24" i="35"/>
  <c r="E24" i="35"/>
  <c r="K24" i="35" s="1"/>
  <c r="D24" i="35"/>
  <c r="B24" i="35"/>
  <c r="F23" i="35"/>
  <c r="I23" i="35" s="1"/>
  <c r="E23" i="35"/>
  <c r="L23" i="35" s="1"/>
  <c r="D23" i="35"/>
  <c r="B23" i="35"/>
  <c r="F22" i="35"/>
  <c r="E22" i="35"/>
  <c r="K22" i="35" s="1"/>
  <c r="D22" i="35"/>
  <c r="B22" i="35"/>
  <c r="F21" i="35"/>
  <c r="E21" i="35"/>
  <c r="L21" i="35" s="1"/>
  <c r="D21" i="35"/>
  <c r="B21" i="35"/>
  <c r="F20" i="35"/>
  <c r="E20" i="35"/>
  <c r="D20" i="35"/>
  <c r="B20" i="35"/>
  <c r="O19" i="35"/>
  <c r="F19" i="35"/>
  <c r="E19" i="35"/>
  <c r="D19" i="35"/>
  <c r="B19" i="35"/>
  <c r="F18" i="35"/>
  <c r="E18" i="35"/>
  <c r="L18" i="35" s="1"/>
  <c r="D18" i="35"/>
  <c r="B18" i="35"/>
  <c r="F17" i="35"/>
  <c r="I17" i="35" s="1"/>
  <c r="E17" i="35"/>
  <c r="D17" i="35"/>
  <c r="B17" i="35"/>
  <c r="F16" i="35"/>
  <c r="I16" i="35" s="1"/>
  <c r="E16" i="35"/>
  <c r="D16" i="35"/>
  <c r="B16" i="35"/>
  <c r="F15" i="35"/>
  <c r="E15" i="35"/>
  <c r="L15" i="35" s="1"/>
  <c r="D15" i="35"/>
  <c r="B15" i="35"/>
  <c r="F14" i="35"/>
  <c r="E14" i="35"/>
  <c r="K14" i="35" s="1"/>
  <c r="D14" i="35"/>
  <c r="B14" i="35"/>
  <c r="F13" i="35"/>
  <c r="E13" i="35"/>
  <c r="L13" i="35" s="1"/>
  <c r="D13" i="35"/>
  <c r="B13" i="35"/>
  <c r="F12" i="35"/>
  <c r="E12" i="35"/>
  <c r="K12" i="35" s="1"/>
  <c r="D12" i="35"/>
  <c r="B12" i="35"/>
  <c r="F11" i="35"/>
  <c r="E11" i="35"/>
  <c r="K11" i="35" s="1"/>
  <c r="D11" i="35"/>
  <c r="B11" i="35"/>
  <c r="F10" i="35"/>
  <c r="E10" i="35"/>
  <c r="K10" i="35" s="1"/>
  <c r="D10" i="35"/>
  <c r="B10" i="35"/>
  <c r="F9" i="35"/>
  <c r="I9" i="35" s="1"/>
  <c r="E9" i="35"/>
  <c r="L9" i="35" s="1"/>
  <c r="D9" i="35"/>
  <c r="B9" i="35"/>
  <c r="F8" i="35"/>
  <c r="I8" i="35" s="1"/>
  <c r="E8" i="35"/>
  <c r="L8" i="35" s="1"/>
  <c r="D8" i="35"/>
  <c r="B8" i="35"/>
  <c r="C5" i="35"/>
  <c r="O4" i="35"/>
  <c r="G4" i="35"/>
  <c r="C4" i="35"/>
  <c r="O3" i="35"/>
  <c r="C3" i="35"/>
  <c r="O2" i="35"/>
  <c r="E2" i="35"/>
  <c r="C2" i="35"/>
  <c r="O1" i="35"/>
  <c r="E1" i="35"/>
  <c r="C1" i="35"/>
  <c r="M97" i="42" l="1"/>
  <c r="M95" i="42"/>
  <c r="M89" i="42"/>
  <c r="M110" i="42" s="1"/>
  <c r="L110" i="42"/>
  <c r="O111" i="42" s="1"/>
  <c r="O113" i="42" s="1"/>
  <c r="O114" i="42" s="1"/>
  <c r="O116" i="42" s="1"/>
  <c r="J110" i="42"/>
  <c r="J16" i="35"/>
  <c r="I19" i="40"/>
  <c r="C20" i="40" s="1"/>
  <c r="K12" i="37"/>
  <c r="J48" i="35"/>
  <c r="K72" i="37"/>
  <c r="J13" i="37"/>
  <c r="J8" i="37"/>
  <c r="K28" i="36"/>
  <c r="J60" i="37"/>
  <c r="J66" i="37"/>
  <c r="J72" i="37"/>
  <c r="K42" i="37"/>
  <c r="M42" i="37" s="1"/>
  <c r="J102" i="37"/>
  <c r="J44" i="36"/>
  <c r="J11" i="37"/>
  <c r="J9" i="36"/>
  <c r="J78" i="35"/>
  <c r="L29" i="37"/>
  <c r="K60" i="36"/>
  <c r="J75" i="36"/>
  <c r="L77" i="37"/>
  <c r="J89" i="37"/>
  <c r="J84" i="37"/>
  <c r="J81" i="36"/>
  <c r="J46" i="36"/>
  <c r="J10" i="37"/>
  <c r="L84" i="37"/>
  <c r="L24" i="37"/>
  <c r="K35" i="37"/>
  <c r="J65" i="37"/>
  <c r="J21" i="36"/>
  <c r="M21" i="36" s="1"/>
  <c r="L97" i="36"/>
  <c r="K16" i="37"/>
  <c r="J53" i="37"/>
  <c r="K21" i="36"/>
  <c r="J77" i="37"/>
  <c r="L16" i="36"/>
  <c r="K77" i="36"/>
  <c r="K36" i="36"/>
  <c r="L34" i="37"/>
  <c r="J12" i="37"/>
  <c r="K20" i="37"/>
  <c r="L62" i="37"/>
  <c r="L29" i="35"/>
  <c r="L46" i="35"/>
  <c r="L9" i="36"/>
  <c r="J73" i="36"/>
  <c r="I8" i="37"/>
  <c r="K60" i="37"/>
  <c r="I65" i="37"/>
  <c r="K67" i="37"/>
  <c r="J70" i="37"/>
  <c r="K102" i="37"/>
  <c r="K34" i="35"/>
  <c r="K53" i="36"/>
  <c r="L48" i="36"/>
  <c r="J96" i="36"/>
  <c r="J26" i="37"/>
  <c r="J31" i="37"/>
  <c r="J55" i="37"/>
  <c r="L70" i="37"/>
  <c r="J83" i="37"/>
  <c r="J53" i="36"/>
  <c r="K9" i="36"/>
  <c r="K96" i="36"/>
  <c r="K101" i="36"/>
  <c r="K8" i="37"/>
  <c r="K31" i="37"/>
  <c r="K55" i="37"/>
  <c r="K58" i="37"/>
  <c r="K65" i="37"/>
  <c r="K83" i="37"/>
  <c r="J94" i="37"/>
  <c r="I21" i="36"/>
  <c r="K40" i="36"/>
  <c r="J29" i="37"/>
  <c r="K47" i="37"/>
  <c r="J78" i="37"/>
  <c r="I46" i="36"/>
  <c r="L71" i="36"/>
  <c r="J80" i="36"/>
  <c r="K94" i="36"/>
  <c r="J16" i="37"/>
  <c r="J42" i="37"/>
  <c r="L78" i="37"/>
  <c r="J29" i="35"/>
  <c r="J46" i="35"/>
  <c r="K65" i="35"/>
  <c r="K92" i="36"/>
  <c r="L27" i="37"/>
  <c r="L61" i="37"/>
  <c r="L89" i="37"/>
  <c r="L30" i="36"/>
  <c r="J33" i="36"/>
  <c r="L69" i="36"/>
  <c r="L98" i="37"/>
  <c r="J22" i="37"/>
  <c r="O5" i="37"/>
  <c r="O122" i="37" s="1"/>
  <c r="K106" i="37"/>
  <c r="L90" i="37"/>
  <c r="K91" i="37"/>
  <c r="J106" i="37"/>
  <c r="J90" i="37"/>
  <c r="I73" i="38"/>
  <c r="I16" i="38" s="1"/>
  <c r="I21" i="38" s="1"/>
  <c r="L73" i="37"/>
  <c r="L17" i="37"/>
  <c r="J43" i="37"/>
  <c r="J48" i="37"/>
  <c r="I53" i="37"/>
  <c r="J82" i="37"/>
  <c r="K37" i="36"/>
  <c r="K52" i="36"/>
  <c r="I73" i="36"/>
  <c r="J98" i="36"/>
  <c r="J35" i="37"/>
  <c r="K43" i="37"/>
  <c r="K48" i="37"/>
  <c r="K82" i="37"/>
  <c r="J103" i="37"/>
  <c r="J13" i="35"/>
  <c r="J95" i="37"/>
  <c r="K103" i="37"/>
  <c r="J32" i="36"/>
  <c r="J67" i="36"/>
  <c r="J107" i="37"/>
  <c r="K53" i="37"/>
  <c r="J47" i="35"/>
  <c r="I33" i="36"/>
  <c r="K73" i="36"/>
  <c r="J84" i="36"/>
  <c r="K22" i="37"/>
  <c r="I31" i="37"/>
  <c r="I70" i="37"/>
  <c r="I78" i="37"/>
  <c r="K95" i="37"/>
  <c r="J108" i="37"/>
  <c r="K47" i="35"/>
  <c r="J82" i="35"/>
  <c r="J100" i="35"/>
  <c r="K84" i="36"/>
  <c r="K89" i="36"/>
  <c r="I10" i="37"/>
  <c r="I66" i="37"/>
  <c r="K87" i="37"/>
  <c r="K108" i="37"/>
  <c r="L43" i="36"/>
  <c r="L74" i="37"/>
  <c r="J91" i="37"/>
  <c r="J62" i="36"/>
  <c r="L86" i="37"/>
  <c r="L67" i="36"/>
  <c r="J96" i="37"/>
  <c r="L64" i="36"/>
  <c r="L10" i="35"/>
  <c r="K48" i="35"/>
  <c r="K14" i="36"/>
  <c r="K44" i="36"/>
  <c r="J49" i="36"/>
  <c r="K100" i="36"/>
  <c r="J15" i="37"/>
  <c r="L19" i="37"/>
  <c r="J23" i="37"/>
  <c r="K41" i="37"/>
  <c r="K54" i="37"/>
  <c r="J71" i="37"/>
  <c r="L96" i="37"/>
  <c r="J101" i="37"/>
  <c r="K107" i="37"/>
  <c r="J41" i="37"/>
  <c r="K16" i="35"/>
  <c r="J102" i="35"/>
  <c r="L44" i="36"/>
  <c r="J54" i="36"/>
  <c r="L85" i="36"/>
  <c r="K23" i="37"/>
  <c r="J28" i="37"/>
  <c r="L50" i="37"/>
  <c r="K71" i="37"/>
  <c r="J79" i="37"/>
  <c r="K101" i="37"/>
  <c r="J105" i="37"/>
  <c r="J37" i="36"/>
  <c r="L10" i="37"/>
  <c r="K79" i="37"/>
  <c r="L32" i="36"/>
  <c r="J74" i="36"/>
  <c r="J28" i="35"/>
  <c r="J59" i="37"/>
  <c r="J67" i="37"/>
  <c r="I89" i="37"/>
  <c r="J58" i="37"/>
  <c r="K28" i="35"/>
  <c r="J35" i="36"/>
  <c r="J50" i="36"/>
  <c r="L81" i="36"/>
  <c r="K11" i="37"/>
  <c r="J46" i="37"/>
  <c r="K59" i="37"/>
  <c r="I90" i="37"/>
  <c r="J73" i="37"/>
  <c r="J9" i="37"/>
  <c r="K66" i="37"/>
  <c r="L36" i="37"/>
  <c r="J54" i="37"/>
  <c r="L16" i="35"/>
  <c r="J33" i="35"/>
  <c r="J11" i="35"/>
  <c r="J15" i="36"/>
  <c r="J45" i="36"/>
  <c r="J86" i="36"/>
  <c r="J20" i="37"/>
  <c r="J51" i="37"/>
  <c r="J64" i="37"/>
  <c r="J29" i="36"/>
  <c r="J36" i="37"/>
  <c r="J104" i="37"/>
  <c r="I102" i="37"/>
  <c r="J17" i="37"/>
  <c r="J52" i="36"/>
  <c r="J31" i="36"/>
  <c r="J107" i="36"/>
  <c r="J56" i="35"/>
  <c r="J62" i="35"/>
  <c r="J26" i="36"/>
  <c r="J56" i="36"/>
  <c r="J61" i="36"/>
  <c r="J97" i="36"/>
  <c r="L107" i="36"/>
  <c r="L38" i="37"/>
  <c r="J47" i="37"/>
  <c r="J68" i="37"/>
  <c r="L80" i="37"/>
  <c r="K80" i="37"/>
  <c r="L45" i="37"/>
  <c r="K45" i="37"/>
  <c r="J32" i="37"/>
  <c r="K76" i="37"/>
  <c r="L76" i="37"/>
  <c r="K55" i="36"/>
  <c r="L55" i="36"/>
  <c r="L40" i="37"/>
  <c r="K40" i="37"/>
  <c r="K46" i="37"/>
  <c r="L14" i="37"/>
  <c r="K14" i="37"/>
  <c r="J27" i="37"/>
  <c r="L30" i="37"/>
  <c r="J40" i="37"/>
  <c r="J63" i="37"/>
  <c r="L91" i="36"/>
  <c r="K52" i="37"/>
  <c r="L52" i="37"/>
  <c r="J17" i="35"/>
  <c r="L17" i="35"/>
  <c r="K17" i="35"/>
  <c r="J36" i="36"/>
  <c r="L69" i="37"/>
  <c r="K69" i="37"/>
  <c r="J99" i="37"/>
  <c r="J14" i="37"/>
  <c r="I14" i="37"/>
  <c r="K63" i="37"/>
  <c r="I29" i="36"/>
  <c r="K47" i="36"/>
  <c r="L47" i="36"/>
  <c r="J65" i="36"/>
  <c r="K80" i="36"/>
  <c r="J21" i="37"/>
  <c r="J34" i="37"/>
  <c r="L37" i="37"/>
  <c r="I47" i="37"/>
  <c r="L57" i="37"/>
  <c r="K57" i="37"/>
  <c r="L64" i="37"/>
  <c r="K64" i="37"/>
  <c r="J87" i="37"/>
  <c r="M87" i="37" s="1"/>
  <c r="I94" i="37"/>
  <c r="J97" i="37"/>
  <c r="I107" i="37"/>
  <c r="J20" i="36"/>
  <c r="I61" i="36"/>
  <c r="I75" i="36"/>
  <c r="I15" i="37"/>
  <c r="I64" i="37"/>
  <c r="K94" i="37"/>
  <c r="L104" i="37"/>
  <c r="K104" i="37"/>
  <c r="K25" i="35"/>
  <c r="K65" i="36"/>
  <c r="J30" i="35"/>
  <c r="L80" i="35"/>
  <c r="K80" i="35"/>
  <c r="J18" i="37"/>
  <c r="I18" i="37"/>
  <c r="L29" i="36"/>
  <c r="K29" i="36"/>
  <c r="L97" i="37"/>
  <c r="L51" i="35"/>
  <c r="K51" i="35"/>
  <c r="J42" i="36"/>
  <c r="J70" i="36"/>
  <c r="J37" i="37"/>
  <c r="L10" i="36"/>
  <c r="K10" i="36"/>
  <c r="L20" i="35"/>
  <c r="K20" i="35"/>
  <c r="L20" i="36"/>
  <c r="J57" i="36"/>
  <c r="L103" i="36"/>
  <c r="J108" i="36"/>
  <c r="I28" i="37"/>
  <c r="K44" i="37"/>
  <c r="L44" i="37"/>
  <c r="K15" i="35"/>
  <c r="J52" i="35"/>
  <c r="J25" i="36"/>
  <c r="K57" i="36"/>
  <c r="J90" i="36"/>
  <c r="J44" i="37"/>
  <c r="I51" i="37"/>
  <c r="L81" i="37"/>
  <c r="K81" i="37"/>
  <c r="J10" i="35"/>
  <c r="I25" i="36"/>
  <c r="L61" i="36"/>
  <c r="J66" i="36"/>
  <c r="L76" i="36"/>
  <c r="K76" i="36"/>
  <c r="J95" i="36"/>
  <c r="J99" i="36"/>
  <c r="I9" i="37"/>
  <c r="L15" i="37"/>
  <c r="K28" i="37"/>
  <c r="I44" i="37"/>
  <c r="I71" i="37"/>
  <c r="J88" i="37"/>
  <c r="L21" i="37"/>
  <c r="K21" i="37"/>
  <c r="J80" i="37"/>
  <c r="J25" i="35"/>
  <c r="L80" i="36"/>
  <c r="J57" i="37"/>
  <c r="I57" i="37"/>
  <c r="J103" i="36"/>
  <c r="J15" i="35"/>
  <c r="L25" i="36"/>
  <c r="K25" i="36"/>
  <c r="J34" i="36"/>
  <c r="L9" i="37"/>
  <c r="K9" i="37"/>
  <c r="I20" i="35"/>
  <c r="J20" i="35"/>
  <c r="L18" i="37"/>
  <c r="L88" i="37"/>
  <c r="K88" i="37"/>
  <c r="I104" i="37"/>
  <c r="J42" i="35"/>
  <c r="J16" i="36"/>
  <c r="L95" i="36"/>
  <c r="I99" i="36"/>
  <c r="L104" i="36"/>
  <c r="K104" i="36"/>
  <c r="K51" i="37"/>
  <c r="J61" i="37"/>
  <c r="I88" i="37"/>
  <c r="L25" i="37"/>
  <c r="K25" i="37"/>
  <c r="J21" i="35"/>
  <c r="L72" i="36"/>
  <c r="K72" i="36"/>
  <c r="J91" i="36"/>
  <c r="I25" i="37"/>
  <c r="J25" i="37"/>
  <c r="I35" i="37"/>
  <c r="K68" i="37"/>
  <c r="L68" i="37"/>
  <c r="L105" i="37"/>
  <c r="K105" i="37"/>
  <c r="I68" i="37"/>
  <c r="I82" i="37"/>
  <c r="J85" i="37"/>
  <c r="K60" i="35"/>
  <c r="L60" i="35"/>
  <c r="L12" i="36"/>
  <c r="J17" i="36"/>
  <c r="L49" i="36"/>
  <c r="K49" i="36"/>
  <c r="J100" i="36"/>
  <c r="J105" i="36"/>
  <c r="K75" i="37"/>
  <c r="L85" i="37"/>
  <c r="I72" i="36"/>
  <c r="J72" i="36"/>
  <c r="J40" i="36"/>
  <c r="I49" i="36"/>
  <c r="J63" i="36"/>
  <c r="J68" i="36"/>
  <c r="L68" i="36"/>
  <c r="K68" i="36"/>
  <c r="K13" i="37"/>
  <c r="L13" i="37"/>
  <c r="L26" i="37"/>
  <c r="K26" i="37"/>
  <c r="J39" i="37"/>
  <c r="J92" i="37"/>
  <c r="K32" i="37"/>
  <c r="L32" i="37"/>
  <c r="J32" i="35"/>
  <c r="J12" i="36"/>
  <c r="J45" i="37"/>
  <c r="I45" i="37"/>
  <c r="J75" i="37"/>
  <c r="K83" i="36"/>
  <c r="L83" i="36"/>
  <c r="K39" i="37"/>
  <c r="K105" i="36"/>
  <c r="L92" i="37"/>
  <c r="K92" i="37"/>
  <c r="J13" i="36"/>
  <c r="K13" i="36"/>
  <c r="L13" i="36"/>
  <c r="J8" i="36"/>
  <c r="K45" i="36"/>
  <c r="L59" i="36"/>
  <c r="J78" i="36"/>
  <c r="I13" i="37"/>
  <c r="L33" i="37"/>
  <c r="K33" i="37"/>
  <c r="I46" i="37"/>
  <c r="J49" i="37"/>
  <c r="I59" i="37"/>
  <c r="J76" i="37"/>
  <c r="K99" i="37"/>
  <c r="I106" i="37"/>
  <c r="I8" i="36"/>
  <c r="L18" i="36"/>
  <c r="K18" i="36"/>
  <c r="J83" i="36"/>
  <c r="J33" i="37"/>
  <c r="L49" i="37"/>
  <c r="I76" i="37"/>
  <c r="L17" i="36"/>
  <c r="K17" i="36"/>
  <c r="J52" i="37"/>
  <c r="J89" i="35"/>
  <c r="J88" i="36"/>
  <c r="J82" i="36"/>
  <c r="L77" i="35"/>
  <c r="J59" i="36"/>
  <c r="L72" i="35"/>
  <c r="L39" i="35"/>
  <c r="I18" i="36"/>
  <c r="J18" i="36"/>
  <c r="K78" i="35"/>
  <c r="L41" i="36"/>
  <c r="K41" i="36"/>
  <c r="J55" i="36"/>
  <c r="K79" i="36"/>
  <c r="L79" i="36"/>
  <c r="L93" i="36"/>
  <c r="K93" i="36"/>
  <c r="I20" i="37"/>
  <c r="J30" i="37"/>
  <c r="K56" i="37"/>
  <c r="L56" i="37"/>
  <c r="L93" i="37"/>
  <c r="K93" i="37"/>
  <c r="L100" i="37"/>
  <c r="K100" i="37"/>
  <c r="L78" i="35"/>
  <c r="L33" i="36"/>
  <c r="K33" i="36"/>
  <c r="K88" i="36"/>
  <c r="J56" i="37"/>
  <c r="J93" i="37"/>
  <c r="J100" i="37"/>
  <c r="J58" i="36"/>
  <c r="J79" i="36"/>
  <c r="J104" i="36"/>
  <c r="I37" i="37"/>
  <c r="I49" i="37"/>
  <c r="I61" i="37"/>
  <c r="I73" i="37"/>
  <c r="I85" i="37"/>
  <c r="I97" i="37"/>
  <c r="J51" i="35"/>
  <c r="I37" i="36"/>
  <c r="I58" i="36"/>
  <c r="J92" i="36"/>
  <c r="I30" i="37"/>
  <c r="J41" i="36"/>
  <c r="J87" i="36"/>
  <c r="J71" i="36"/>
  <c r="J10" i="36"/>
  <c r="J22" i="36"/>
  <c r="J38" i="36"/>
  <c r="I93" i="37"/>
  <c r="J70" i="35"/>
  <c r="I10" i="36"/>
  <c r="J47" i="36"/>
  <c r="J76" i="36"/>
  <c r="I26" i="37"/>
  <c r="J69" i="37"/>
  <c r="J81" i="37"/>
  <c r="J27" i="36"/>
  <c r="J43" i="36"/>
  <c r="J51" i="36"/>
  <c r="J101" i="36"/>
  <c r="J50" i="37"/>
  <c r="J62" i="37"/>
  <c r="J74" i="37"/>
  <c r="J86" i="37"/>
  <c r="J98" i="37"/>
  <c r="J19" i="37"/>
  <c r="J38" i="37"/>
  <c r="L48" i="35"/>
  <c r="I15" i="36"/>
  <c r="J23" i="36"/>
  <c r="I31" i="36"/>
  <c r="L35" i="36"/>
  <c r="J39" i="36"/>
  <c r="J60" i="36"/>
  <c r="J64" i="36"/>
  <c r="J89" i="36"/>
  <c r="J106" i="36"/>
  <c r="L56" i="36"/>
  <c r="J69" i="36"/>
  <c r="J85" i="36"/>
  <c r="J94" i="36"/>
  <c r="I17" i="37"/>
  <c r="J24" i="37"/>
  <c r="I36" i="37"/>
  <c r="I48" i="37"/>
  <c r="I60" i="37"/>
  <c r="I72" i="37"/>
  <c r="I84" i="37"/>
  <c r="I96" i="37"/>
  <c r="I108" i="37"/>
  <c r="J18" i="35"/>
  <c r="J11" i="36"/>
  <c r="J28" i="36"/>
  <c r="J19" i="36"/>
  <c r="J24" i="36"/>
  <c r="I28" i="36"/>
  <c r="J48" i="36"/>
  <c r="J77" i="36"/>
  <c r="M77" i="36" s="1"/>
  <c r="I94" i="36"/>
  <c r="J102" i="36"/>
  <c r="K81" i="35"/>
  <c r="I15" i="35"/>
  <c r="K36" i="35"/>
  <c r="J41" i="35"/>
  <c r="J54" i="35"/>
  <c r="J59" i="35"/>
  <c r="K104" i="35"/>
  <c r="I57" i="36"/>
  <c r="I81" i="36"/>
  <c r="J19" i="35"/>
  <c r="K41" i="35"/>
  <c r="J106" i="35"/>
  <c r="K24" i="36"/>
  <c r="I53" i="36"/>
  <c r="I65" i="36"/>
  <c r="I77" i="36"/>
  <c r="I89" i="36"/>
  <c r="I101" i="36"/>
  <c r="K108" i="36"/>
  <c r="J38" i="35"/>
  <c r="L56" i="35"/>
  <c r="J65" i="35"/>
  <c r="I22" i="36"/>
  <c r="J34" i="35"/>
  <c r="L43" i="35"/>
  <c r="J61" i="35"/>
  <c r="K22" i="36"/>
  <c r="I27" i="36"/>
  <c r="K70" i="36"/>
  <c r="K106" i="36"/>
  <c r="K21" i="35"/>
  <c r="L30" i="35"/>
  <c r="K52" i="35"/>
  <c r="K75" i="35"/>
  <c r="L15" i="36"/>
  <c r="I20" i="36"/>
  <c r="K27" i="36"/>
  <c r="I32" i="36"/>
  <c r="L34" i="36"/>
  <c r="L46" i="36"/>
  <c r="L58" i="36"/>
  <c r="L82" i="36"/>
  <c r="J57" i="35"/>
  <c r="L90" i="35"/>
  <c r="K8" i="36"/>
  <c r="K39" i="36"/>
  <c r="K51" i="36"/>
  <c r="K63" i="36"/>
  <c r="K75" i="36"/>
  <c r="K87" i="36"/>
  <c r="K99" i="36"/>
  <c r="I104" i="36"/>
  <c r="L61" i="35"/>
  <c r="L57" i="35"/>
  <c r="I11" i="36"/>
  <c r="J30" i="36"/>
  <c r="I42" i="36"/>
  <c r="I54" i="36"/>
  <c r="I66" i="36"/>
  <c r="I78" i="36"/>
  <c r="I90" i="36"/>
  <c r="I102" i="36"/>
  <c r="J80" i="35"/>
  <c r="J22" i="35"/>
  <c r="J45" i="35"/>
  <c r="K53" i="35"/>
  <c r="J72" i="35"/>
  <c r="I23" i="36"/>
  <c r="J53" i="35"/>
  <c r="J14" i="35"/>
  <c r="J63" i="35"/>
  <c r="K11" i="36"/>
  <c r="K42" i="36"/>
  <c r="K54" i="36"/>
  <c r="K66" i="36"/>
  <c r="K78" i="36"/>
  <c r="K90" i="36"/>
  <c r="K102" i="36"/>
  <c r="I107" i="36"/>
  <c r="K23" i="36"/>
  <c r="I28" i="35"/>
  <c r="J49" i="35"/>
  <c r="J77" i="35"/>
  <c r="J36" i="35"/>
  <c r="J104" i="35"/>
  <c r="I46" i="35"/>
  <c r="I45" i="36"/>
  <c r="I69" i="36"/>
  <c r="I105" i="36"/>
  <c r="J73" i="35"/>
  <c r="J14" i="36"/>
  <c r="I26" i="36"/>
  <c r="J93" i="36"/>
  <c r="O5" i="35"/>
  <c r="O122" i="35" s="1"/>
  <c r="I33" i="35"/>
  <c r="J64" i="35"/>
  <c r="I73" i="35"/>
  <c r="J93" i="35"/>
  <c r="I19" i="36"/>
  <c r="I38" i="36"/>
  <c r="I50" i="36"/>
  <c r="I62" i="36"/>
  <c r="I74" i="36"/>
  <c r="I86" i="36"/>
  <c r="I98" i="36"/>
  <c r="I10" i="35"/>
  <c r="K64" i="35"/>
  <c r="K73" i="35"/>
  <c r="K26" i="36"/>
  <c r="I12" i="36"/>
  <c r="K19" i="36"/>
  <c r="K38" i="36"/>
  <c r="I43" i="36"/>
  <c r="K50" i="36"/>
  <c r="I55" i="36"/>
  <c r="K62" i="36"/>
  <c r="I67" i="36"/>
  <c r="K74" i="36"/>
  <c r="M74" i="36" s="1"/>
  <c r="I79" i="36"/>
  <c r="K86" i="36"/>
  <c r="I91" i="36"/>
  <c r="K98" i="36"/>
  <c r="I103" i="36"/>
  <c r="K33" i="35"/>
  <c r="I29" i="35"/>
  <c r="J37" i="35"/>
  <c r="J60" i="35"/>
  <c r="J69" i="35"/>
  <c r="K31" i="36"/>
  <c r="K69" i="35"/>
  <c r="J86" i="35"/>
  <c r="K96" i="35"/>
  <c r="K105" i="35"/>
  <c r="L101" i="35"/>
  <c r="K88" i="35"/>
  <c r="J84" i="35"/>
  <c r="J107" i="35"/>
  <c r="K84" i="35"/>
  <c r="I93" i="35"/>
  <c r="K102" i="35"/>
  <c r="L102" i="35"/>
  <c r="J97" i="35"/>
  <c r="J88" i="35"/>
  <c r="J108" i="35"/>
  <c r="J85" i="35"/>
  <c r="L85" i="35"/>
  <c r="L108" i="35"/>
  <c r="J96" i="35"/>
  <c r="J101" i="35"/>
  <c r="K97" i="35"/>
  <c r="K89" i="35"/>
  <c r="J94" i="35"/>
  <c r="K99" i="35"/>
  <c r="J90" i="35"/>
  <c r="I97" i="35"/>
  <c r="J105" i="35"/>
  <c r="I32" i="35"/>
  <c r="I42" i="35"/>
  <c r="I63" i="35"/>
  <c r="I37" i="35"/>
  <c r="I22" i="35"/>
  <c r="L27" i="35"/>
  <c r="J71" i="35"/>
  <c r="J79" i="35"/>
  <c r="K87" i="35"/>
  <c r="J95" i="35"/>
  <c r="J103" i="35"/>
  <c r="K9" i="35"/>
  <c r="L14" i="35"/>
  <c r="J40" i="35"/>
  <c r="K45" i="35"/>
  <c r="I53" i="35"/>
  <c r="L58" i="35"/>
  <c r="K71" i="35"/>
  <c r="L79" i="35"/>
  <c r="I82" i="35"/>
  <c r="K95" i="35"/>
  <c r="L103" i="35"/>
  <c r="J68" i="35"/>
  <c r="L55" i="35"/>
  <c r="K68" i="35"/>
  <c r="J76" i="35"/>
  <c r="L11" i="35"/>
  <c r="J27" i="35"/>
  <c r="I45" i="35"/>
  <c r="L100" i="35"/>
  <c r="L37" i="35"/>
  <c r="K40" i="35"/>
  <c r="L22" i="35"/>
  <c r="I30" i="35"/>
  <c r="J98" i="35"/>
  <c r="K106" i="35"/>
  <c r="L19" i="35"/>
  <c r="K19" i="35"/>
  <c r="L92" i="35"/>
  <c r="J9" i="35"/>
  <c r="L74" i="35"/>
  <c r="K74" i="35"/>
  <c r="I61" i="35"/>
  <c r="J74" i="35"/>
  <c r="K82" i="35"/>
  <c r="I90" i="35"/>
  <c r="I25" i="35"/>
  <c r="K35" i="35"/>
  <c r="I56" i="35"/>
  <c r="K66" i="35"/>
  <c r="I74" i="35"/>
  <c r="I98" i="35"/>
  <c r="L106" i="35"/>
  <c r="I11" i="35"/>
  <c r="J24" i="35"/>
  <c r="J81" i="35"/>
  <c r="L24" i="35"/>
  <c r="K76" i="35"/>
  <c r="L42" i="35"/>
  <c r="J58" i="35"/>
  <c r="J87" i="35"/>
  <c r="L98" i="35"/>
  <c r="K98" i="35"/>
  <c r="J35" i="35"/>
  <c r="J66" i="35"/>
  <c r="J12" i="35"/>
  <c r="I12" i="35"/>
  <c r="L12" i="35"/>
  <c r="L38" i="35"/>
  <c r="K38" i="35"/>
  <c r="J43" i="35"/>
  <c r="I43" i="35"/>
  <c r="I100" i="35"/>
  <c r="J50" i="35"/>
  <c r="L63" i="35"/>
  <c r="L50" i="35"/>
  <c r="K50" i="35"/>
  <c r="I19" i="35"/>
  <c r="J92" i="35"/>
  <c r="K93" i="35"/>
  <c r="I14" i="35"/>
  <c r="K32" i="35"/>
  <c r="I41" i="35"/>
  <c r="J23" i="35"/>
  <c r="I107" i="35"/>
  <c r="J55" i="35"/>
  <c r="I55" i="35"/>
  <c r="I54" i="35"/>
  <c r="L59" i="35"/>
  <c r="J67" i="35"/>
  <c r="I67" i="35"/>
  <c r="J75" i="35"/>
  <c r="J31" i="35"/>
  <c r="I49" i="35"/>
  <c r="L67" i="35"/>
  <c r="J83" i="35"/>
  <c r="J91" i="35"/>
  <c r="I18" i="35"/>
  <c r="L31" i="35"/>
  <c r="K31" i="35"/>
  <c r="L62" i="35"/>
  <c r="K62" i="35"/>
  <c r="J99" i="35"/>
  <c r="I13" i="35"/>
  <c r="K23" i="35"/>
  <c r="K18" i="35"/>
  <c r="I31" i="35"/>
  <c r="K54" i="35"/>
  <c r="I62" i="35"/>
  <c r="I70" i="35"/>
  <c r="K83" i="35"/>
  <c r="L91" i="35"/>
  <c r="I94" i="35"/>
  <c r="K107" i="35"/>
  <c r="L86" i="35"/>
  <c r="K86" i="35"/>
  <c r="J8" i="35"/>
  <c r="K13" i="35"/>
  <c r="J44" i="35"/>
  <c r="K49" i="35"/>
  <c r="K8" i="35"/>
  <c r="I21" i="35"/>
  <c r="J26" i="35"/>
  <c r="J39" i="35"/>
  <c r="K44" i="35"/>
  <c r="I52" i="35"/>
  <c r="K70" i="35"/>
  <c r="K94" i="35"/>
  <c r="K26" i="35"/>
  <c r="I86" i="35"/>
  <c r="I79" i="35"/>
  <c r="I91" i="35"/>
  <c r="I103" i="35"/>
  <c r="I24" i="35"/>
  <c r="F57" i="32"/>
  <c r="E57" i="32"/>
  <c r="L57" i="32" s="1"/>
  <c r="D57" i="32"/>
  <c r="B57" i="32"/>
  <c r="G120" i="34"/>
  <c r="E120" i="34"/>
  <c r="G119" i="34"/>
  <c r="E119" i="34"/>
  <c r="G118" i="34"/>
  <c r="E118" i="34"/>
  <c r="G117" i="34"/>
  <c r="E117" i="34"/>
  <c r="G116" i="34"/>
  <c r="E116" i="34"/>
  <c r="G115" i="34"/>
  <c r="E115" i="34"/>
  <c r="O114" i="34"/>
  <c r="I114" i="34"/>
  <c r="G114" i="34"/>
  <c r="E114" i="34"/>
  <c r="I113" i="34"/>
  <c r="G113" i="34"/>
  <c r="E113" i="34"/>
  <c r="M112" i="34"/>
  <c r="I112" i="34"/>
  <c r="G112" i="34"/>
  <c r="E112" i="34"/>
  <c r="I111" i="34"/>
  <c r="G111" i="34"/>
  <c r="E111" i="34"/>
  <c r="F107" i="34"/>
  <c r="E107" i="34"/>
  <c r="K107" i="34" s="1"/>
  <c r="D107" i="34"/>
  <c r="B107" i="34"/>
  <c r="F106" i="34"/>
  <c r="I106" i="34" s="1"/>
  <c r="E106" i="34"/>
  <c r="L106" i="34" s="1"/>
  <c r="D106" i="34"/>
  <c r="B106" i="34"/>
  <c r="F105" i="34"/>
  <c r="I105" i="34" s="1"/>
  <c r="E105" i="34"/>
  <c r="L105" i="34" s="1"/>
  <c r="D105" i="34"/>
  <c r="B105" i="34"/>
  <c r="F104" i="34"/>
  <c r="E104" i="34"/>
  <c r="L104" i="34" s="1"/>
  <c r="D104" i="34"/>
  <c r="B104" i="34"/>
  <c r="F103" i="34"/>
  <c r="E103" i="34"/>
  <c r="L103" i="34" s="1"/>
  <c r="D103" i="34"/>
  <c r="B103" i="34"/>
  <c r="F102" i="34"/>
  <c r="I102" i="34" s="1"/>
  <c r="E102" i="34"/>
  <c r="L102" i="34" s="1"/>
  <c r="D102" i="34"/>
  <c r="B102" i="34"/>
  <c r="F101" i="34"/>
  <c r="E101" i="34"/>
  <c r="K101" i="34" s="1"/>
  <c r="D101" i="34"/>
  <c r="B101" i="34"/>
  <c r="F100" i="34"/>
  <c r="I100" i="34" s="1"/>
  <c r="E100" i="34"/>
  <c r="L100" i="34" s="1"/>
  <c r="D100" i="34"/>
  <c r="B100" i="34"/>
  <c r="F99" i="34"/>
  <c r="I99" i="34" s="1"/>
  <c r="E99" i="34"/>
  <c r="L99" i="34" s="1"/>
  <c r="D99" i="34"/>
  <c r="B99" i="34"/>
  <c r="F98" i="34"/>
  <c r="E98" i="34"/>
  <c r="L98" i="34" s="1"/>
  <c r="D98" i="34"/>
  <c r="B98" i="34"/>
  <c r="F97" i="34"/>
  <c r="I97" i="34" s="1"/>
  <c r="E97" i="34"/>
  <c r="L97" i="34" s="1"/>
  <c r="D97" i="34"/>
  <c r="B97" i="34"/>
  <c r="F96" i="34"/>
  <c r="I96" i="34" s="1"/>
  <c r="E96" i="34"/>
  <c r="L96" i="34" s="1"/>
  <c r="D96" i="34"/>
  <c r="B96" i="34"/>
  <c r="F95" i="34"/>
  <c r="E95" i="34"/>
  <c r="K95" i="34" s="1"/>
  <c r="D95" i="34"/>
  <c r="B95" i="34"/>
  <c r="F94" i="34"/>
  <c r="I94" i="34" s="1"/>
  <c r="E94" i="34"/>
  <c r="L94" i="34" s="1"/>
  <c r="D94" i="34"/>
  <c r="B94" i="34"/>
  <c r="F93" i="34"/>
  <c r="E93" i="34"/>
  <c r="L93" i="34" s="1"/>
  <c r="D93" i="34"/>
  <c r="B93" i="34"/>
  <c r="F92" i="34"/>
  <c r="E92" i="34"/>
  <c r="L92" i="34" s="1"/>
  <c r="D92" i="34"/>
  <c r="B92" i="34"/>
  <c r="F91" i="34"/>
  <c r="E91" i="34"/>
  <c r="L91" i="34" s="1"/>
  <c r="D91" i="34"/>
  <c r="B91" i="34"/>
  <c r="F90" i="34"/>
  <c r="I90" i="34" s="1"/>
  <c r="E90" i="34"/>
  <c r="L90" i="34" s="1"/>
  <c r="D90" i="34"/>
  <c r="B90" i="34"/>
  <c r="F89" i="34"/>
  <c r="I89" i="34" s="1"/>
  <c r="E89" i="34"/>
  <c r="K89" i="34" s="1"/>
  <c r="D89" i="34"/>
  <c r="B89" i="34"/>
  <c r="F88" i="34"/>
  <c r="I88" i="34" s="1"/>
  <c r="E88" i="34"/>
  <c r="K88" i="34" s="1"/>
  <c r="D88" i="34"/>
  <c r="B88" i="34"/>
  <c r="F87" i="34"/>
  <c r="I87" i="34" s="1"/>
  <c r="E87" i="34"/>
  <c r="L87" i="34" s="1"/>
  <c r="D87" i="34"/>
  <c r="B87" i="34"/>
  <c r="F86" i="34"/>
  <c r="E86" i="34"/>
  <c r="L86" i="34" s="1"/>
  <c r="D86" i="34"/>
  <c r="B86" i="34"/>
  <c r="F85" i="34"/>
  <c r="E85" i="34"/>
  <c r="L85" i="34" s="1"/>
  <c r="D85" i="34"/>
  <c r="B85" i="34"/>
  <c r="F84" i="34"/>
  <c r="I84" i="34" s="1"/>
  <c r="E84" i="34"/>
  <c r="L84" i="34" s="1"/>
  <c r="D84" i="34"/>
  <c r="B84" i="34"/>
  <c r="F83" i="34"/>
  <c r="E83" i="34"/>
  <c r="K83" i="34" s="1"/>
  <c r="D83" i="34"/>
  <c r="B83" i="34"/>
  <c r="F82" i="34"/>
  <c r="I82" i="34" s="1"/>
  <c r="E82" i="34"/>
  <c r="L82" i="34" s="1"/>
  <c r="D82" i="34"/>
  <c r="B82" i="34"/>
  <c r="F81" i="34"/>
  <c r="I81" i="34" s="1"/>
  <c r="E81" i="34"/>
  <c r="L81" i="34" s="1"/>
  <c r="D81" i="34"/>
  <c r="B81" i="34"/>
  <c r="F80" i="34"/>
  <c r="E80" i="34"/>
  <c r="L80" i="34" s="1"/>
  <c r="D80" i="34"/>
  <c r="B80" i="34"/>
  <c r="F79" i="34"/>
  <c r="I79" i="34" s="1"/>
  <c r="E79" i="34"/>
  <c r="L79" i="34" s="1"/>
  <c r="D79" i="34"/>
  <c r="B79" i="34"/>
  <c r="F78" i="34"/>
  <c r="E78" i="34"/>
  <c r="L78" i="34" s="1"/>
  <c r="D78" i="34"/>
  <c r="B78" i="34"/>
  <c r="F77" i="34"/>
  <c r="I77" i="34" s="1"/>
  <c r="E77" i="34"/>
  <c r="K77" i="34" s="1"/>
  <c r="D77" i="34"/>
  <c r="B77" i="34"/>
  <c r="F76" i="34"/>
  <c r="I76" i="34" s="1"/>
  <c r="E76" i="34"/>
  <c r="K76" i="34" s="1"/>
  <c r="D76" i="34"/>
  <c r="B76" i="34"/>
  <c r="F75" i="34"/>
  <c r="I75" i="34" s="1"/>
  <c r="E75" i="34"/>
  <c r="L75" i="34" s="1"/>
  <c r="D75" i="34"/>
  <c r="B75" i="34"/>
  <c r="F74" i="34"/>
  <c r="E74" i="34"/>
  <c r="L74" i="34" s="1"/>
  <c r="D74" i="34"/>
  <c r="B74" i="34"/>
  <c r="F73" i="34"/>
  <c r="E73" i="34"/>
  <c r="L73" i="34" s="1"/>
  <c r="D73" i="34"/>
  <c r="B73" i="34"/>
  <c r="F72" i="34"/>
  <c r="E72" i="34"/>
  <c r="L72" i="34" s="1"/>
  <c r="D72" i="34"/>
  <c r="B72" i="34"/>
  <c r="F71" i="34"/>
  <c r="E71" i="34"/>
  <c r="K71" i="34" s="1"/>
  <c r="D71" i="34"/>
  <c r="B71" i="34"/>
  <c r="F70" i="34"/>
  <c r="I70" i="34" s="1"/>
  <c r="E70" i="34"/>
  <c r="L70" i="34" s="1"/>
  <c r="D70" i="34"/>
  <c r="B70" i="34"/>
  <c r="F69" i="34"/>
  <c r="I69" i="34" s="1"/>
  <c r="E69" i="34"/>
  <c r="L69" i="34" s="1"/>
  <c r="D69" i="34"/>
  <c r="B69" i="34"/>
  <c r="F68" i="34"/>
  <c r="E68" i="34"/>
  <c r="L68" i="34" s="1"/>
  <c r="D68" i="34"/>
  <c r="B68" i="34"/>
  <c r="F67" i="34"/>
  <c r="I67" i="34" s="1"/>
  <c r="E67" i="34"/>
  <c r="L67" i="34" s="1"/>
  <c r="D67" i="34"/>
  <c r="B67" i="34"/>
  <c r="F66" i="34"/>
  <c r="E66" i="34"/>
  <c r="L66" i="34" s="1"/>
  <c r="D66" i="34"/>
  <c r="B66" i="34"/>
  <c r="F65" i="34"/>
  <c r="I65" i="34" s="1"/>
  <c r="E65" i="34"/>
  <c r="K65" i="34" s="1"/>
  <c r="D65" i="34"/>
  <c r="B65" i="34"/>
  <c r="F64" i="34"/>
  <c r="I64" i="34" s="1"/>
  <c r="E64" i="34"/>
  <c r="K64" i="34" s="1"/>
  <c r="D64" i="34"/>
  <c r="B64" i="34"/>
  <c r="F63" i="34"/>
  <c r="I63" i="34" s="1"/>
  <c r="E63" i="34"/>
  <c r="L63" i="34" s="1"/>
  <c r="D63" i="34"/>
  <c r="B63" i="34"/>
  <c r="F62" i="34"/>
  <c r="E62" i="34"/>
  <c r="L62" i="34" s="1"/>
  <c r="D62" i="34"/>
  <c r="B62" i="34"/>
  <c r="F61" i="34"/>
  <c r="E61" i="34"/>
  <c r="L61" i="34" s="1"/>
  <c r="D61" i="34"/>
  <c r="B61" i="34"/>
  <c r="F60" i="34"/>
  <c r="E60" i="34"/>
  <c r="L60" i="34" s="1"/>
  <c r="D60" i="34"/>
  <c r="B60" i="34"/>
  <c r="F59" i="34"/>
  <c r="E59" i="34"/>
  <c r="K59" i="34" s="1"/>
  <c r="D59" i="34"/>
  <c r="B59" i="34"/>
  <c r="F58" i="34"/>
  <c r="I58" i="34" s="1"/>
  <c r="E58" i="34"/>
  <c r="K58" i="34" s="1"/>
  <c r="D58" i="34"/>
  <c r="B58" i="34"/>
  <c r="F57" i="34"/>
  <c r="E57" i="34"/>
  <c r="L57" i="34" s="1"/>
  <c r="D57" i="34"/>
  <c r="B57" i="34"/>
  <c r="F56" i="34"/>
  <c r="E56" i="34"/>
  <c r="L56" i="34" s="1"/>
  <c r="D56" i="34"/>
  <c r="B56" i="34"/>
  <c r="F55" i="34"/>
  <c r="E55" i="34"/>
  <c r="K55" i="34" s="1"/>
  <c r="D55" i="34"/>
  <c r="B55" i="34"/>
  <c r="F54" i="34"/>
  <c r="E54" i="34"/>
  <c r="L54" i="34" s="1"/>
  <c r="D54" i="34"/>
  <c r="B54" i="34"/>
  <c r="F53" i="34"/>
  <c r="E53" i="34"/>
  <c r="K53" i="34" s="1"/>
  <c r="D53" i="34"/>
  <c r="B53" i="34"/>
  <c r="F52" i="34"/>
  <c r="I52" i="34" s="1"/>
  <c r="E52" i="34"/>
  <c r="L52" i="34" s="1"/>
  <c r="D52" i="34"/>
  <c r="B52" i="34"/>
  <c r="F51" i="34"/>
  <c r="E51" i="34"/>
  <c r="L51" i="34" s="1"/>
  <c r="D51" i="34"/>
  <c r="B51" i="34"/>
  <c r="F50" i="34"/>
  <c r="E50" i="34"/>
  <c r="L50" i="34" s="1"/>
  <c r="D50" i="34"/>
  <c r="B50" i="34"/>
  <c r="F49" i="34"/>
  <c r="E49" i="34"/>
  <c r="L49" i="34" s="1"/>
  <c r="D49" i="34"/>
  <c r="B49" i="34"/>
  <c r="F48" i="34"/>
  <c r="E48" i="34"/>
  <c r="L48" i="34" s="1"/>
  <c r="D48" i="34"/>
  <c r="B48" i="34"/>
  <c r="F47" i="34"/>
  <c r="I47" i="34" s="1"/>
  <c r="E47" i="34"/>
  <c r="K47" i="34" s="1"/>
  <c r="D47" i="34"/>
  <c r="B47" i="34"/>
  <c r="F46" i="34"/>
  <c r="I46" i="34" s="1"/>
  <c r="E46" i="34"/>
  <c r="L46" i="34" s="1"/>
  <c r="D46" i="34"/>
  <c r="B46" i="34"/>
  <c r="F45" i="34"/>
  <c r="E45" i="34"/>
  <c r="L45" i="34" s="1"/>
  <c r="D45" i="34"/>
  <c r="B45" i="34"/>
  <c r="F44" i="34"/>
  <c r="E44" i="34"/>
  <c r="L44" i="34" s="1"/>
  <c r="D44" i="34"/>
  <c r="B44" i="34"/>
  <c r="F43" i="34"/>
  <c r="E43" i="34"/>
  <c r="L43" i="34" s="1"/>
  <c r="D43" i="34"/>
  <c r="B43" i="34"/>
  <c r="F42" i="34"/>
  <c r="E42" i="34"/>
  <c r="L42" i="34" s="1"/>
  <c r="D42" i="34"/>
  <c r="B42" i="34"/>
  <c r="F41" i="34"/>
  <c r="E41" i="34"/>
  <c r="K41" i="34" s="1"/>
  <c r="D41" i="34"/>
  <c r="B41" i="34"/>
  <c r="F40" i="34"/>
  <c r="I40" i="34" s="1"/>
  <c r="E40" i="34"/>
  <c r="L40" i="34" s="1"/>
  <c r="D40" i="34"/>
  <c r="B40" i="34"/>
  <c r="F39" i="34"/>
  <c r="I39" i="34" s="1"/>
  <c r="E39" i="34"/>
  <c r="L39" i="34" s="1"/>
  <c r="D39" i="34"/>
  <c r="B39" i="34"/>
  <c r="F38" i="34"/>
  <c r="E38" i="34"/>
  <c r="L38" i="34" s="1"/>
  <c r="D38" i="34"/>
  <c r="B38" i="34"/>
  <c r="F37" i="34"/>
  <c r="E37" i="34"/>
  <c r="L37" i="34" s="1"/>
  <c r="D37" i="34"/>
  <c r="B37" i="34"/>
  <c r="F36" i="34"/>
  <c r="I36" i="34" s="1"/>
  <c r="E36" i="34"/>
  <c r="L36" i="34" s="1"/>
  <c r="D36" i="34"/>
  <c r="B36" i="34"/>
  <c r="F35" i="34"/>
  <c r="E35" i="34"/>
  <c r="K35" i="34" s="1"/>
  <c r="D35" i="34"/>
  <c r="B35" i="34"/>
  <c r="F34" i="34"/>
  <c r="I34" i="34" s="1"/>
  <c r="E34" i="34"/>
  <c r="L34" i="34" s="1"/>
  <c r="D34" i="34"/>
  <c r="B34" i="34"/>
  <c r="O33" i="34"/>
  <c r="F33" i="34"/>
  <c r="I33" i="34" s="1"/>
  <c r="E33" i="34"/>
  <c r="L33" i="34" s="1"/>
  <c r="D33" i="34"/>
  <c r="B33" i="34"/>
  <c r="F32" i="34"/>
  <c r="I32" i="34" s="1"/>
  <c r="E32" i="34"/>
  <c r="L32" i="34" s="1"/>
  <c r="D32" i="34"/>
  <c r="B32" i="34"/>
  <c r="F31" i="34"/>
  <c r="I31" i="34" s="1"/>
  <c r="E31" i="34"/>
  <c r="L31" i="34" s="1"/>
  <c r="D31" i="34"/>
  <c r="B31" i="34"/>
  <c r="F30" i="34"/>
  <c r="E30" i="34"/>
  <c r="L30" i="34" s="1"/>
  <c r="D30" i="34"/>
  <c r="B30" i="34"/>
  <c r="F29" i="34"/>
  <c r="I29" i="34" s="1"/>
  <c r="E29" i="34"/>
  <c r="K29" i="34" s="1"/>
  <c r="D29" i="34"/>
  <c r="B29" i="34"/>
  <c r="F28" i="34"/>
  <c r="I28" i="34" s="1"/>
  <c r="E28" i="34"/>
  <c r="L28" i="34" s="1"/>
  <c r="D28" i="34"/>
  <c r="B28" i="34"/>
  <c r="F27" i="34"/>
  <c r="E27" i="34"/>
  <c r="L27" i="34" s="1"/>
  <c r="D27" i="34"/>
  <c r="B27" i="34"/>
  <c r="F26" i="34"/>
  <c r="E26" i="34"/>
  <c r="L26" i="34" s="1"/>
  <c r="D26" i="34"/>
  <c r="B26" i="34"/>
  <c r="F25" i="34"/>
  <c r="I25" i="34" s="1"/>
  <c r="E25" i="34"/>
  <c r="L25" i="34" s="1"/>
  <c r="D25" i="34"/>
  <c r="B25" i="34"/>
  <c r="F24" i="34"/>
  <c r="I24" i="34" s="1"/>
  <c r="E24" i="34"/>
  <c r="L24" i="34" s="1"/>
  <c r="D24" i="34"/>
  <c r="B24" i="34"/>
  <c r="F23" i="34"/>
  <c r="I23" i="34" s="1"/>
  <c r="E23" i="34"/>
  <c r="K23" i="34" s="1"/>
  <c r="D23" i="34"/>
  <c r="B23" i="34"/>
  <c r="F22" i="34"/>
  <c r="I22" i="34" s="1"/>
  <c r="E22" i="34"/>
  <c r="L22" i="34" s="1"/>
  <c r="D22" i="34"/>
  <c r="B22" i="34"/>
  <c r="F21" i="34"/>
  <c r="I21" i="34" s="1"/>
  <c r="E21" i="34"/>
  <c r="L21" i="34" s="1"/>
  <c r="D21" i="34"/>
  <c r="B21" i="34"/>
  <c r="F20" i="34"/>
  <c r="I20" i="34" s="1"/>
  <c r="E20" i="34"/>
  <c r="L20" i="34" s="1"/>
  <c r="D20" i="34"/>
  <c r="B20" i="34"/>
  <c r="O19" i="34"/>
  <c r="F19" i="34"/>
  <c r="E19" i="34"/>
  <c r="L19" i="34" s="1"/>
  <c r="D19" i="34"/>
  <c r="B19" i="34"/>
  <c r="F18" i="34"/>
  <c r="I18" i="34" s="1"/>
  <c r="E18" i="34"/>
  <c r="D18" i="34"/>
  <c r="B18" i="34"/>
  <c r="F17" i="34"/>
  <c r="E17" i="34"/>
  <c r="L17" i="34" s="1"/>
  <c r="D17" i="34"/>
  <c r="B17" i="34"/>
  <c r="F16" i="34"/>
  <c r="I16" i="34" s="1"/>
  <c r="E16" i="34"/>
  <c r="K16" i="34" s="1"/>
  <c r="D16" i="34"/>
  <c r="B16" i="34"/>
  <c r="F15" i="34"/>
  <c r="I15" i="34" s="1"/>
  <c r="E15" i="34"/>
  <c r="L15" i="34" s="1"/>
  <c r="D15" i="34"/>
  <c r="B15" i="34"/>
  <c r="F14" i="34"/>
  <c r="I14" i="34" s="1"/>
  <c r="E14" i="34"/>
  <c r="K14" i="34" s="1"/>
  <c r="D14" i="34"/>
  <c r="B14" i="34"/>
  <c r="F13" i="34"/>
  <c r="E13" i="34"/>
  <c r="L13" i="34" s="1"/>
  <c r="D13" i="34"/>
  <c r="B13" i="34"/>
  <c r="F12" i="34"/>
  <c r="E12" i="34"/>
  <c r="K12" i="34" s="1"/>
  <c r="D12" i="34"/>
  <c r="B12" i="34"/>
  <c r="F11" i="34"/>
  <c r="E11" i="34"/>
  <c r="L11" i="34" s="1"/>
  <c r="D11" i="34"/>
  <c r="B11" i="34"/>
  <c r="F10" i="34"/>
  <c r="I10" i="34" s="1"/>
  <c r="E10" i="34"/>
  <c r="K10" i="34" s="1"/>
  <c r="D10" i="34"/>
  <c r="B10" i="34"/>
  <c r="F9" i="34"/>
  <c r="I9" i="34" s="1"/>
  <c r="E9" i="34"/>
  <c r="L9" i="34" s="1"/>
  <c r="D9" i="34"/>
  <c r="B9" i="34"/>
  <c r="F8" i="34"/>
  <c r="E8" i="34"/>
  <c r="K8" i="34" s="1"/>
  <c r="D8" i="34"/>
  <c r="B8" i="34"/>
  <c r="C5" i="34"/>
  <c r="O4" i="34"/>
  <c r="O5" i="34" s="1"/>
  <c r="O121" i="34" s="1"/>
  <c r="G4" i="34"/>
  <c r="C4" i="34"/>
  <c r="O3" i="34"/>
  <c r="C3" i="34"/>
  <c r="O2" i="34"/>
  <c r="E2" i="34"/>
  <c r="C2" i="34"/>
  <c r="O1" i="34"/>
  <c r="E1" i="34"/>
  <c r="C1" i="34"/>
  <c r="F45" i="33"/>
  <c r="I45" i="33" s="1"/>
  <c r="D45" i="33"/>
  <c r="C45" i="33"/>
  <c r="F44" i="33"/>
  <c r="I44" i="33" s="1"/>
  <c r="D44" i="33"/>
  <c r="C44" i="33"/>
  <c r="F43" i="33"/>
  <c r="I43" i="33" s="1"/>
  <c r="D43" i="33"/>
  <c r="C43" i="33"/>
  <c r="F42" i="33"/>
  <c r="I42" i="33" s="1"/>
  <c r="D42" i="33"/>
  <c r="C42" i="33"/>
  <c r="F41" i="33"/>
  <c r="I41" i="33" s="1"/>
  <c r="D41" i="33"/>
  <c r="C41" i="33"/>
  <c r="F40" i="33"/>
  <c r="I40" i="33" s="1"/>
  <c r="D40" i="33"/>
  <c r="C40" i="33"/>
  <c r="F39" i="33"/>
  <c r="I39" i="33" s="1"/>
  <c r="D39" i="33"/>
  <c r="C39" i="33"/>
  <c r="F38" i="33"/>
  <c r="I38" i="33" s="1"/>
  <c r="D38" i="33"/>
  <c r="C38" i="33"/>
  <c r="F37" i="33"/>
  <c r="I37" i="33" s="1"/>
  <c r="D37" i="33"/>
  <c r="C37" i="33"/>
  <c r="F36" i="33"/>
  <c r="I36" i="33" s="1"/>
  <c r="D36" i="33"/>
  <c r="C36" i="33"/>
  <c r="F35" i="33"/>
  <c r="I35" i="33" s="1"/>
  <c r="D35" i="33"/>
  <c r="C35" i="33"/>
  <c r="F34" i="33"/>
  <c r="I34" i="33" s="1"/>
  <c r="D34" i="33"/>
  <c r="C34" i="33"/>
  <c r="F33" i="33"/>
  <c r="I33" i="33" s="1"/>
  <c r="D33" i="33"/>
  <c r="C33" i="33"/>
  <c r="F32" i="33"/>
  <c r="I32" i="33" s="1"/>
  <c r="D32" i="33"/>
  <c r="C32" i="33"/>
  <c r="F31" i="33"/>
  <c r="I31" i="33" s="1"/>
  <c r="D31" i="33"/>
  <c r="C31" i="33"/>
  <c r="F30" i="33"/>
  <c r="I30" i="33" s="1"/>
  <c r="D30" i="33"/>
  <c r="C30" i="33"/>
  <c r="F29" i="33"/>
  <c r="I29" i="33" s="1"/>
  <c r="D29" i="33"/>
  <c r="C29" i="33"/>
  <c r="F28" i="33"/>
  <c r="I28" i="33" s="1"/>
  <c r="D28" i="33"/>
  <c r="C28" i="33"/>
  <c r="F27" i="33"/>
  <c r="I27" i="33" s="1"/>
  <c r="D27" i="33"/>
  <c r="C27" i="33"/>
  <c r="F26" i="33"/>
  <c r="I26" i="33" s="1"/>
  <c r="D26" i="33"/>
  <c r="C26" i="33"/>
  <c r="F25" i="33"/>
  <c r="I25" i="33" s="1"/>
  <c r="D25" i="33"/>
  <c r="C25" i="33"/>
  <c r="F24" i="33"/>
  <c r="I24" i="33" s="1"/>
  <c r="D24" i="33"/>
  <c r="C24" i="33"/>
  <c r="L22" i="33"/>
  <c r="M22" i="33" s="1"/>
  <c r="H20" i="33" a="1"/>
  <c r="H20" i="33" s="1"/>
  <c r="F20" i="33"/>
  <c r="F20" i="33" a="1"/>
  <c r="B15" i="33"/>
  <c r="I14" i="33"/>
  <c r="B13" i="33"/>
  <c r="I12" i="33"/>
  <c r="B11" i="33"/>
  <c r="B7" i="33"/>
  <c r="I3" i="33"/>
  <c r="F3" i="33"/>
  <c r="G121" i="32"/>
  <c r="E121" i="32"/>
  <c r="G120" i="32"/>
  <c r="E120" i="32"/>
  <c r="G119" i="32"/>
  <c r="E119" i="32"/>
  <c r="G118" i="32"/>
  <c r="E118" i="32"/>
  <c r="G117" i="32"/>
  <c r="E117" i="32"/>
  <c r="G116" i="32"/>
  <c r="E116" i="32"/>
  <c r="I115" i="32"/>
  <c r="G115" i="32"/>
  <c r="E115" i="32"/>
  <c r="I114" i="32"/>
  <c r="G114" i="32"/>
  <c r="E114" i="32"/>
  <c r="M113" i="32"/>
  <c r="I113" i="32"/>
  <c r="G113" i="32"/>
  <c r="E113" i="32"/>
  <c r="I112" i="32"/>
  <c r="G112" i="32"/>
  <c r="E112" i="32"/>
  <c r="F108" i="32"/>
  <c r="E108" i="32"/>
  <c r="L108" i="32" s="1"/>
  <c r="D108" i="32"/>
  <c r="B108" i="32"/>
  <c r="F107" i="32"/>
  <c r="I107" i="32" s="1"/>
  <c r="E107" i="32"/>
  <c r="L107" i="32" s="1"/>
  <c r="D107" i="32"/>
  <c r="B107" i="32"/>
  <c r="F106" i="32"/>
  <c r="I106" i="32" s="1"/>
  <c r="E106" i="32"/>
  <c r="L106" i="32" s="1"/>
  <c r="D106" i="32"/>
  <c r="B106" i="32"/>
  <c r="F105" i="32"/>
  <c r="I105" i="32" s="1"/>
  <c r="E105" i="32"/>
  <c r="L105" i="32" s="1"/>
  <c r="D105" i="32"/>
  <c r="B105" i="32"/>
  <c r="F104" i="32"/>
  <c r="I104" i="32" s="1"/>
  <c r="E104" i="32"/>
  <c r="L104" i="32" s="1"/>
  <c r="D104" i="32"/>
  <c r="B104" i="32"/>
  <c r="F103" i="32"/>
  <c r="I103" i="32" s="1"/>
  <c r="E103" i="32"/>
  <c r="L103" i="32" s="1"/>
  <c r="D103" i="32"/>
  <c r="B103" i="32"/>
  <c r="F102" i="32"/>
  <c r="E102" i="32"/>
  <c r="K102" i="32" s="1"/>
  <c r="D102" i="32"/>
  <c r="B102" i="32"/>
  <c r="F101" i="32"/>
  <c r="I101" i="32" s="1"/>
  <c r="E101" i="32"/>
  <c r="K101" i="32" s="1"/>
  <c r="D101" i="32"/>
  <c r="B101" i="32"/>
  <c r="F100" i="32"/>
  <c r="I100" i="32" s="1"/>
  <c r="E100" i="32"/>
  <c r="L100" i="32" s="1"/>
  <c r="D100" i="32"/>
  <c r="B100" i="32"/>
  <c r="F99" i="32"/>
  <c r="I99" i="32" s="1"/>
  <c r="E99" i="32"/>
  <c r="L99" i="32" s="1"/>
  <c r="D99" i="32"/>
  <c r="B99" i="32"/>
  <c r="F98" i="32"/>
  <c r="I98" i="32" s="1"/>
  <c r="E98" i="32"/>
  <c r="L98" i="32" s="1"/>
  <c r="D98" i="32"/>
  <c r="B98" i="32"/>
  <c r="F97" i="32"/>
  <c r="I97" i="32" s="1"/>
  <c r="E97" i="32"/>
  <c r="K97" i="32" s="1"/>
  <c r="D97" i="32"/>
  <c r="B97" i="32"/>
  <c r="F96" i="32"/>
  <c r="I96" i="32" s="1"/>
  <c r="E96" i="32"/>
  <c r="L96" i="32" s="1"/>
  <c r="D96" i="32"/>
  <c r="B96" i="32"/>
  <c r="F95" i="32"/>
  <c r="E95" i="32"/>
  <c r="L95" i="32" s="1"/>
  <c r="D95" i="32"/>
  <c r="B95" i="32"/>
  <c r="F94" i="32"/>
  <c r="E94" i="32"/>
  <c r="L94" i="32" s="1"/>
  <c r="D94" i="32"/>
  <c r="B94" i="32"/>
  <c r="F93" i="32"/>
  <c r="I93" i="32" s="1"/>
  <c r="E93" i="32"/>
  <c r="K93" i="32" s="1"/>
  <c r="D93" i="32"/>
  <c r="B93" i="32"/>
  <c r="F92" i="32"/>
  <c r="I92" i="32" s="1"/>
  <c r="E92" i="32"/>
  <c r="L92" i="32" s="1"/>
  <c r="D92" i="32"/>
  <c r="B92" i="32"/>
  <c r="F91" i="32"/>
  <c r="I91" i="32" s="1"/>
  <c r="E91" i="32"/>
  <c r="L91" i="32" s="1"/>
  <c r="D91" i="32"/>
  <c r="B91" i="32"/>
  <c r="F90" i="32"/>
  <c r="I90" i="32" s="1"/>
  <c r="E90" i="32"/>
  <c r="L90" i="32" s="1"/>
  <c r="D90" i="32"/>
  <c r="B90" i="32"/>
  <c r="F89" i="32"/>
  <c r="E89" i="32"/>
  <c r="L89" i="32" s="1"/>
  <c r="D89" i="32"/>
  <c r="B89" i="32"/>
  <c r="F88" i="32"/>
  <c r="I88" i="32" s="1"/>
  <c r="E88" i="32"/>
  <c r="D88" i="32"/>
  <c r="B88" i="32"/>
  <c r="F87" i="32"/>
  <c r="E87" i="32"/>
  <c r="L87" i="32" s="1"/>
  <c r="D87" i="32"/>
  <c r="B87" i="32"/>
  <c r="F86" i="32"/>
  <c r="E86" i="32"/>
  <c r="L86" i="32" s="1"/>
  <c r="D86" i="32"/>
  <c r="B86" i="32"/>
  <c r="F85" i="32"/>
  <c r="I85" i="32" s="1"/>
  <c r="E85" i="32"/>
  <c r="K85" i="32" s="1"/>
  <c r="D85" i="32"/>
  <c r="B85" i="32"/>
  <c r="F84" i="32"/>
  <c r="E84" i="32"/>
  <c r="L84" i="32" s="1"/>
  <c r="D84" i="32"/>
  <c r="B84" i="32"/>
  <c r="F83" i="32"/>
  <c r="E83" i="32"/>
  <c r="L83" i="32" s="1"/>
  <c r="D83" i="32"/>
  <c r="B83" i="32"/>
  <c r="F82" i="32"/>
  <c r="I82" i="32" s="1"/>
  <c r="E82" i="32"/>
  <c r="L82" i="32" s="1"/>
  <c r="D82" i="32"/>
  <c r="B82" i="32"/>
  <c r="F81" i="32"/>
  <c r="I81" i="32" s="1"/>
  <c r="E81" i="32"/>
  <c r="L81" i="32" s="1"/>
  <c r="D81" i="32"/>
  <c r="B81" i="32"/>
  <c r="F80" i="32"/>
  <c r="E80" i="32"/>
  <c r="K80" i="32" s="1"/>
  <c r="D80" i="32"/>
  <c r="B80" i="32"/>
  <c r="F79" i="32"/>
  <c r="E79" i="32"/>
  <c r="L79" i="32" s="1"/>
  <c r="D79" i="32"/>
  <c r="B79" i="32"/>
  <c r="F78" i="32"/>
  <c r="E78" i="32"/>
  <c r="L78" i="32" s="1"/>
  <c r="D78" i="32"/>
  <c r="B78" i="32"/>
  <c r="F77" i="32"/>
  <c r="I77" i="32" s="1"/>
  <c r="E77" i="32"/>
  <c r="K77" i="32" s="1"/>
  <c r="D77" i="32"/>
  <c r="B77" i="32"/>
  <c r="F76" i="32"/>
  <c r="E76" i="32"/>
  <c r="L76" i="32" s="1"/>
  <c r="D76" i="32"/>
  <c r="B76" i="32"/>
  <c r="F75" i="32"/>
  <c r="I75" i="32" s="1"/>
  <c r="E75" i="32"/>
  <c r="K75" i="32" s="1"/>
  <c r="D75" i="32"/>
  <c r="B75" i="32"/>
  <c r="F74" i="32"/>
  <c r="I74" i="32" s="1"/>
  <c r="E74" i="32"/>
  <c r="L74" i="32" s="1"/>
  <c r="D74" i="32"/>
  <c r="B74" i="32"/>
  <c r="F73" i="32"/>
  <c r="E73" i="32"/>
  <c r="L73" i="32" s="1"/>
  <c r="D73" i="32"/>
  <c r="B73" i="32"/>
  <c r="F72" i="32"/>
  <c r="E72" i="32"/>
  <c r="K72" i="32" s="1"/>
  <c r="D72" i="32"/>
  <c r="B72" i="32"/>
  <c r="F71" i="32"/>
  <c r="E71" i="32"/>
  <c r="L71" i="32" s="1"/>
  <c r="D71" i="32"/>
  <c r="B71" i="32"/>
  <c r="F70" i="32"/>
  <c r="E70" i="32"/>
  <c r="K70" i="32" s="1"/>
  <c r="D70" i="32"/>
  <c r="B70" i="32"/>
  <c r="F69" i="32"/>
  <c r="E69" i="32"/>
  <c r="K69" i="32" s="1"/>
  <c r="D69" i="32"/>
  <c r="B69" i="32"/>
  <c r="F68" i="32"/>
  <c r="I68" i="32" s="1"/>
  <c r="E68" i="32"/>
  <c r="L68" i="32" s="1"/>
  <c r="D68" i="32"/>
  <c r="B68" i="32"/>
  <c r="F67" i="32"/>
  <c r="E67" i="32"/>
  <c r="K67" i="32" s="1"/>
  <c r="D67" i="32"/>
  <c r="B67" i="32"/>
  <c r="F66" i="32"/>
  <c r="E66" i="32"/>
  <c r="L66" i="32" s="1"/>
  <c r="D66" i="32"/>
  <c r="B66" i="32"/>
  <c r="F65" i="32"/>
  <c r="E65" i="32"/>
  <c r="K65" i="32" s="1"/>
  <c r="D65" i="32"/>
  <c r="B65" i="32"/>
  <c r="F64" i="32"/>
  <c r="I64" i="32" s="1"/>
  <c r="E64" i="32"/>
  <c r="L64" i="32" s="1"/>
  <c r="D64" i="32"/>
  <c r="B64" i="32"/>
  <c r="F63" i="32"/>
  <c r="E63" i="32"/>
  <c r="L63" i="32" s="1"/>
  <c r="D63" i="32"/>
  <c r="B63" i="32"/>
  <c r="F62" i="32"/>
  <c r="E62" i="32"/>
  <c r="K62" i="32" s="1"/>
  <c r="D62" i="32"/>
  <c r="B62" i="32"/>
  <c r="F61" i="32"/>
  <c r="I61" i="32" s="1"/>
  <c r="E61" i="32"/>
  <c r="K61" i="32" s="1"/>
  <c r="D61" i="32"/>
  <c r="B61" i="32"/>
  <c r="F60" i="32"/>
  <c r="I60" i="32" s="1"/>
  <c r="E60" i="32"/>
  <c r="L60" i="32" s="1"/>
  <c r="D60" i="32"/>
  <c r="B60" i="32"/>
  <c r="F59" i="32"/>
  <c r="I59" i="32" s="1"/>
  <c r="E59" i="32"/>
  <c r="L59" i="32" s="1"/>
  <c r="D59" i="32"/>
  <c r="B59" i="32"/>
  <c r="F58" i="32"/>
  <c r="E58" i="32"/>
  <c r="L58" i="32" s="1"/>
  <c r="D58" i="32"/>
  <c r="B58" i="32"/>
  <c r="F56" i="32"/>
  <c r="E56" i="32"/>
  <c r="K56" i="32" s="1"/>
  <c r="D56" i="32"/>
  <c r="B56" i="32"/>
  <c r="F55" i="32"/>
  <c r="E55" i="32"/>
  <c r="K55" i="32" s="1"/>
  <c r="D55" i="32"/>
  <c r="B55" i="32"/>
  <c r="F54" i="32"/>
  <c r="E54" i="32"/>
  <c r="L54" i="32" s="1"/>
  <c r="D54" i="32"/>
  <c r="B54" i="32"/>
  <c r="F53" i="32"/>
  <c r="E53" i="32"/>
  <c r="K53" i="32" s="1"/>
  <c r="D53" i="32"/>
  <c r="B53" i="32"/>
  <c r="F52" i="32"/>
  <c r="E52" i="32"/>
  <c r="K52" i="32" s="1"/>
  <c r="D52" i="32"/>
  <c r="B52" i="32"/>
  <c r="F51" i="32"/>
  <c r="E51" i="32"/>
  <c r="L51" i="32" s="1"/>
  <c r="D51" i="32"/>
  <c r="B51" i="32"/>
  <c r="F50" i="32"/>
  <c r="E50" i="32"/>
  <c r="L50" i="32" s="1"/>
  <c r="D50" i="32"/>
  <c r="B50" i="32"/>
  <c r="F49" i="32"/>
  <c r="E49" i="32"/>
  <c r="L49" i="32" s="1"/>
  <c r="D49" i="32"/>
  <c r="B49" i="32"/>
  <c r="F48" i="32"/>
  <c r="I48" i="32" s="1"/>
  <c r="E48" i="32"/>
  <c r="L48" i="32" s="1"/>
  <c r="D48" i="32"/>
  <c r="B48" i="32"/>
  <c r="F47" i="32"/>
  <c r="I47" i="32" s="1"/>
  <c r="E47" i="32"/>
  <c r="K47" i="32" s="1"/>
  <c r="D47" i="32"/>
  <c r="B47" i="32"/>
  <c r="F46" i="32"/>
  <c r="E46" i="32"/>
  <c r="L46" i="32" s="1"/>
  <c r="D46" i="32"/>
  <c r="B46" i="32"/>
  <c r="F45" i="32"/>
  <c r="E45" i="32"/>
  <c r="L45" i="32" s="1"/>
  <c r="D45" i="32"/>
  <c r="B45" i="32"/>
  <c r="F44" i="32"/>
  <c r="E44" i="32"/>
  <c r="K44" i="32" s="1"/>
  <c r="D44" i="32"/>
  <c r="B44" i="32"/>
  <c r="F43" i="32"/>
  <c r="I43" i="32" s="1"/>
  <c r="E43" i="32"/>
  <c r="L43" i="32" s="1"/>
  <c r="D43" i="32"/>
  <c r="B43" i="32"/>
  <c r="F42" i="32"/>
  <c r="E42" i="32"/>
  <c r="K42" i="32" s="1"/>
  <c r="D42" i="32"/>
  <c r="B42" i="32"/>
  <c r="F41" i="32"/>
  <c r="E41" i="32"/>
  <c r="L41" i="32" s="1"/>
  <c r="D41" i="32"/>
  <c r="B41" i="32"/>
  <c r="F40" i="32"/>
  <c r="E40" i="32"/>
  <c r="K40" i="32" s="1"/>
  <c r="D40" i="32"/>
  <c r="B40" i="32"/>
  <c r="F39" i="32"/>
  <c r="E39" i="32"/>
  <c r="L39" i="32" s="1"/>
  <c r="D39" i="32"/>
  <c r="B39" i="32"/>
  <c r="F38" i="32"/>
  <c r="E38" i="32"/>
  <c r="L38" i="32" s="1"/>
  <c r="D38" i="32"/>
  <c r="B38" i="32"/>
  <c r="F37" i="32"/>
  <c r="E37" i="32"/>
  <c r="L37" i="32" s="1"/>
  <c r="D37" i="32"/>
  <c r="B37" i="32"/>
  <c r="F36" i="32"/>
  <c r="I36" i="32" s="1"/>
  <c r="E36" i="32"/>
  <c r="K36" i="32" s="1"/>
  <c r="D36" i="32"/>
  <c r="B36" i="32"/>
  <c r="F35" i="32"/>
  <c r="I35" i="32" s="1"/>
  <c r="E35" i="32"/>
  <c r="L35" i="32" s="1"/>
  <c r="D35" i="32"/>
  <c r="B35" i="32"/>
  <c r="F34" i="32"/>
  <c r="I34" i="32" s="1"/>
  <c r="E34" i="32"/>
  <c r="K34" i="32" s="1"/>
  <c r="D34" i="32"/>
  <c r="B34" i="32"/>
  <c r="O33" i="32"/>
  <c r="O115" i="32" s="1"/>
  <c r="F33" i="32"/>
  <c r="E33" i="32"/>
  <c r="L33" i="32" s="1"/>
  <c r="D33" i="32"/>
  <c r="B33" i="32"/>
  <c r="F32" i="32"/>
  <c r="I32" i="32" s="1"/>
  <c r="E32" i="32"/>
  <c r="L32" i="32" s="1"/>
  <c r="D32" i="32"/>
  <c r="B32" i="32"/>
  <c r="F31" i="32"/>
  <c r="E31" i="32"/>
  <c r="L31" i="32" s="1"/>
  <c r="D31" i="32"/>
  <c r="B31" i="32"/>
  <c r="F30" i="32"/>
  <c r="E30" i="32"/>
  <c r="K30" i="32" s="1"/>
  <c r="D30" i="32"/>
  <c r="B30" i="32"/>
  <c r="F29" i="32"/>
  <c r="E29" i="32"/>
  <c r="K29" i="32" s="1"/>
  <c r="D29" i="32"/>
  <c r="B29" i="32"/>
  <c r="F28" i="32"/>
  <c r="I28" i="32" s="1"/>
  <c r="E28" i="32"/>
  <c r="L28" i="32" s="1"/>
  <c r="D28" i="32"/>
  <c r="B28" i="32"/>
  <c r="F27" i="32"/>
  <c r="E27" i="32"/>
  <c r="K27" i="32" s="1"/>
  <c r="D27" i="32"/>
  <c r="B27" i="32"/>
  <c r="F26" i="32"/>
  <c r="I26" i="32" s="1"/>
  <c r="E26" i="32"/>
  <c r="L26" i="32" s="1"/>
  <c r="D26" i="32"/>
  <c r="B26" i="32"/>
  <c r="F25" i="32"/>
  <c r="E25" i="32"/>
  <c r="L25" i="32" s="1"/>
  <c r="D25" i="32"/>
  <c r="B25" i="32"/>
  <c r="F24" i="32"/>
  <c r="I24" i="32" s="1"/>
  <c r="E24" i="32"/>
  <c r="L24" i="32" s="1"/>
  <c r="D24" i="32"/>
  <c r="B24" i="32"/>
  <c r="F23" i="32"/>
  <c r="E23" i="32"/>
  <c r="L23" i="32" s="1"/>
  <c r="D23" i="32"/>
  <c r="B23" i="32"/>
  <c r="F22" i="32"/>
  <c r="I22" i="32" s="1"/>
  <c r="E22" i="32"/>
  <c r="K22" i="32" s="1"/>
  <c r="D22" i="32"/>
  <c r="B22" i="32"/>
  <c r="F21" i="32"/>
  <c r="E21" i="32"/>
  <c r="K21" i="32" s="1"/>
  <c r="D21" i="32"/>
  <c r="B21" i="32"/>
  <c r="F20" i="32"/>
  <c r="I20" i="32" s="1"/>
  <c r="E20" i="32"/>
  <c r="L20" i="32" s="1"/>
  <c r="D20" i="32"/>
  <c r="B20" i="32"/>
  <c r="O19" i="32"/>
  <c r="F19" i="32"/>
  <c r="I19" i="32" s="1"/>
  <c r="E19" i="32"/>
  <c r="L19" i="32" s="1"/>
  <c r="D19" i="32"/>
  <c r="B19" i="32"/>
  <c r="F18" i="32"/>
  <c r="E18" i="32"/>
  <c r="L18" i="32" s="1"/>
  <c r="D18" i="32"/>
  <c r="B18" i="32"/>
  <c r="F17" i="32"/>
  <c r="I17" i="32" s="1"/>
  <c r="E17" i="32"/>
  <c r="L17" i="32" s="1"/>
  <c r="D17" i="32"/>
  <c r="B17" i="32"/>
  <c r="F16" i="32"/>
  <c r="I16" i="32" s="1"/>
  <c r="E16" i="32"/>
  <c r="L16" i="32" s="1"/>
  <c r="D16" i="32"/>
  <c r="B16" i="32"/>
  <c r="F15" i="32"/>
  <c r="E15" i="32"/>
  <c r="K15" i="32" s="1"/>
  <c r="D15" i="32"/>
  <c r="B15" i="32"/>
  <c r="F14" i="32"/>
  <c r="E14" i="32"/>
  <c r="L14" i="32" s="1"/>
  <c r="D14" i="32"/>
  <c r="B14" i="32"/>
  <c r="F13" i="32"/>
  <c r="E13" i="32"/>
  <c r="L13" i="32" s="1"/>
  <c r="D13" i="32"/>
  <c r="B13" i="32"/>
  <c r="F12" i="32"/>
  <c r="E12" i="32"/>
  <c r="L12" i="32" s="1"/>
  <c r="D12" i="32"/>
  <c r="B12" i="32"/>
  <c r="F11" i="32"/>
  <c r="I11" i="32" s="1"/>
  <c r="E11" i="32"/>
  <c r="K11" i="32" s="1"/>
  <c r="D11" i="32"/>
  <c r="B11" i="32"/>
  <c r="F10" i="32"/>
  <c r="E10" i="32"/>
  <c r="K10" i="32" s="1"/>
  <c r="D10" i="32"/>
  <c r="B10" i="32"/>
  <c r="F9" i="32"/>
  <c r="I9" i="32" s="1"/>
  <c r="E9" i="32"/>
  <c r="L9" i="32" s="1"/>
  <c r="D9" i="32"/>
  <c r="B9" i="32"/>
  <c r="F8" i="32"/>
  <c r="I8" i="32" s="1"/>
  <c r="E8" i="32"/>
  <c r="L8" i="32" s="1"/>
  <c r="D8" i="32"/>
  <c r="B8" i="32"/>
  <c r="C5" i="32"/>
  <c r="O4" i="32"/>
  <c r="G4" i="32"/>
  <c r="C4" i="32"/>
  <c r="O3" i="32"/>
  <c r="C3" i="32"/>
  <c r="O2" i="32"/>
  <c r="E2" i="32"/>
  <c r="C2" i="32"/>
  <c r="O1" i="32"/>
  <c r="E1" i="32"/>
  <c r="C1" i="32"/>
  <c r="H127" i="31"/>
  <c r="G120" i="31"/>
  <c r="E120" i="31"/>
  <c r="G119" i="31"/>
  <c r="E119" i="31"/>
  <c r="G118" i="31"/>
  <c r="E118" i="31"/>
  <c r="G117" i="31"/>
  <c r="E117" i="31"/>
  <c r="G116" i="31"/>
  <c r="E116" i="31"/>
  <c r="G115" i="31"/>
  <c r="E115" i="31"/>
  <c r="I114" i="31"/>
  <c r="G114" i="31"/>
  <c r="E114" i="31"/>
  <c r="I113" i="31"/>
  <c r="G113" i="31"/>
  <c r="E113" i="31"/>
  <c r="M112" i="31"/>
  <c r="I112" i="31"/>
  <c r="G112" i="31"/>
  <c r="E112" i="31"/>
  <c r="I111" i="31"/>
  <c r="G111" i="31"/>
  <c r="E111" i="31"/>
  <c r="F107" i="31"/>
  <c r="E107" i="31"/>
  <c r="L107" i="31" s="1"/>
  <c r="D107" i="31"/>
  <c r="B107" i="31"/>
  <c r="F106" i="31"/>
  <c r="I106" i="31" s="1"/>
  <c r="E106" i="31"/>
  <c r="K106" i="31" s="1"/>
  <c r="D106" i="31"/>
  <c r="B106" i="31"/>
  <c r="F105" i="31"/>
  <c r="I105" i="31" s="1"/>
  <c r="E105" i="31"/>
  <c r="L105" i="31" s="1"/>
  <c r="D105" i="31"/>
  <c r="B105" i="31"/>
  <c r="F104" i="31"/>
  <c r="E104" i="31"/>
  <c r="L104" i="31" s="1"/>
  <c r="D104" i="31"/>
  <c r="B104" i="31"/>
  <c r="F103" i="31"/>
  <c r="E103" i="31"/>
  <c r="L103" i="31" s="1"/>
  <c r="D103" i="31"/>
  <c r="B103" i="31"/>
  <c r="F102" i="31"/>
  <c r="I102" i="31" s="1"/>
  <c r="E102" i="31"/>
  <c r="L102" i="31" s="1"/>
  <c r="D102" i="31"/>
  <c r="B102" i="31"/>
  <c r="F101" i="31"/>
  <c r="E101" i="31"/>
  <c r="D101" i="31"/>
  <c r="B101" i="31"/>
  <c r="F100" i="31"/>
  <c r="I100" i="31" s="1"/>
  <c r="E100" i="31"/>
  <c r="K100" i="31" s="1"/>
  <c r="D100" i="31"/>
  <c r="B100" i="31"/>
  <c r="F99" i="31"/>
  <c r="E99" i="31"/>
  <c r="L99" i="31" s="1"/>
  <c r="D99" i="31"/>
  <c r="B99" i="31"/>
  <c r="F98" i="31"/>
  <c r="I98" i="31" s="1"/>
  <c r="E98" i="31"/>
  <c r="K98" i="31" s="1"/>
  <c r="D98" i="31"/>
  <c r="B98" i="31"/>
  <c r="F97" i="31"/>
  <c r="E97" i="31"/>
  <c r="L97" i="31" s="1"/>
  <c r="D97" i="31"/>
  <c r="B97" i="31"/>
  <c r="F96" i="31"/>
  <c r="E96" i="31"/>
  <c r="L96" i="31" s="1"/>
  <c r="D96" i="31"/>
  <c r="B96" i="31"/>
  <c r="F95" i="31"/>
  <c r="E95" i="31"/>
  <c r="L95" i="31" s="1"/>
  <c r="D95" i="31"/>
  <c r="B95" i="31"/>
  <c r="F94" i="31"/>
  <c r="E94" i="31"/>
  <c r="L94" i="31" s="1"/>
  <c r="D94" i="31"/>
  <c r="B94" i="31"/>
  <c r="F93" i="31"/>
  <c r="E93" i="31"/>
  <c r="D93" i="31"/>
  <c r="B93" i="31"/>
  <c r="F92" i="31"/>
  <c r="I92" i="31" s="1"/>
  <c r="E92" i="31"/>
  <c r="L92" i="31" s="1"/>
  <c r="D92" i="31"/>
  <c r="B92" i="31"/>
  <c r="F91" i="31"/>
  <c r="E91" i="31"/>
  <c r="L91" i="31" s="1"/>
  <c r="D91" i="31"/>
  <c r="B91" i="31"/>
  <c r="F90" i="31"/>
  <c r="I90" i="31" s="1"/>
  <c r="E90" i="31"/>
  <c r="L90" i="31" s="1"/>
  <c r="D90" i="31"/>
  <c r="B90" i="31"/>
  <c r="F89" i="31"/>
  <c r="E89" i="31"/>
  <c r="K89" i="31" s="1"/>
  <c r="D89" i="31"/>
  <c r="B89" i="31"/>
  <c r="F88" i="31"/>
  <c r="E88" i="31"/>
  <c r="L88" i="31" s="1"/>
  <c r="D88" i="31"/>
  <c r="B88" i="31"/>
  <c r="F87" i="31"/>
  <c r="E87" i="31"/>
  <c r="L87" i="31" s="1"/>
  <c r="D87" i="31"/>
  <c r="B87" i="31"/>
  <c r="F86" i="31"/>
  <c r="E86" i="31"/>
  <c r="L86" i="31" s="1"/>
  <c r="D86" i="31"/>
  <c r="B86" i="31"/>
  <c r="F85" i="31"/>
  <c r="E85" i="31"/>
  <c r="D85" i="31"/>
  <c r="B85" i="31"/>
  <c r="F84" i="31"/>
  <c r="I84" i="31" s="1"/>
  <c r="E84" i="31"/>
  <c r="L84" i="31" s="1"/>
  <c r="D84" i="31"/>
  <c r="B84" i="31"/>
  <c r="F83" i="31"/>
  <c r="I83" i="31" s="1"/>
  <c r="E83" i="31"/>
  <c r="K83" i="31" s="1"/>
  <c r="D83" i="31"/>
  <c r="B83" i="31"/>
  <c r="F82" i="31"/>
  <c r="I82" i="31" s="1"/>
  <c r="E82" i="31"/>
  <c r="L82" i="31" s="1"/>
  <c r="D82" i="31"/>
  <c r="B82" i="31"/>
  <c r="F81" i="31"/>
  <c r="E81" i="31"/>
  <c r="L81" i="31" s="1"/>
  <c r="D81" i="31"/>
  <c r="B81" i="31"/>
  <c r="F80" i="31"/>
  <c r="E80" i="31"/>
  <c r="K80" i="31" s="1"/>
  <c r="D80" i="31"/>
  <c r="B80" i="31"/>
  <c r="F79" i="31"/>
  <c r="E79" i="31"/>
  <c r="L79" i="31" s="1"/>
  <c r="D79" i="31"/>
  <c r="B79" i="31"/>
  <c r="F78" i="31"/>
  <c r="I78" i="31" s="1"/>
  <c r="E78" i="31"/>
  <c r="L78" i="31" s="1"/>
  <c r="D78" i="31"/>
  <c r="B78" i="31"/>
  <c r="F77" i="31"/>
  <c r="E77" i="31"/>
  <c r="D77" i="31"/>
  <c r="B77" i="31"/>
  <c r="F76" i="31"/>
  <c r="E76" i="31"/>
  <c r="L76" i="31" s="1"/>
  <c r="D76" i="31"/>
  <c r="B76" i="31"/>
  <c r="F75" i="31"/>
  <c r="E75" i="31"/>
  <c r="K75" i="31" s="1"/>
  <c r="D75" i="31"/>
  <c r="B75" i="31"/>
  <c r="F74" i="31"/>
  <c r="I74" i="31" s="1"/>
  <c r="E74" i="31"/>
  <c r="K74" i="31" s="1"/>
  <c r="D74" i="31"/>
  <c r="B74" i="31"/>
  <c r="F73" i="31"/>
  <c r="I73" i="31" s="1"/>
  <c r="E73" i="31"/>
  <c r="L73" i="31" s="1"/>
  <c r="D73" i="31"/>
  <c r="B73" i="31"/>
  <c r="F72" i="31"/>
  <c r="E72" i="31"/>
  <c r="L72" i="31" s="1"/>
  <c r="D72" i="31"/>
  <c r="B72" i="31"/>
  <c r="F71" i="31"/>
  <c r="E71" i="31"/>
  <c r="L71" i="31" s="1"/>
  <c r="D71" i="31"/>
  <c r="B71" i="31"/>
  <c r="F70" i="31"/>
  <c r="E70" i="31"/>
  <c r="L70" i="31" s="1"/>
  <c r="D70" i="31"/>
  <c r="B70" i="31"/>
  <c r="F69" i="31"/>
  <c r="E69" i="31"/>
  <c r="D69" i="31"/>
  <c r="B69" i="31"/>
  <c r="F68" i="31"/>
  <c r="I68" i="31" s="1"/>
  <c r="E68" i="31"/>
  <c r="K68" i="31" s="1"/>
  <c r="D68" i="31"/>
  <c r="B68" i="31"/>
  <c r="F67" i="31"/>
  <c r="E67" i="31"/>
  <c r="L67" i="31" s="1"/>
  <c r="D67" i="31"/>
  <c r="B67" i="31"/>
  <c r="F66" i="31"/>
  <c r="I66" i="31" s="1"/>
  <c r="E66" i="31"/>
  <c r="L66" i="31" s="1"/>
  <c r="D66" i="31"/>
  <c r="B66" i="31"/>
  <c r="F65" i="31"/>
  <c r="I65" i="31" s="1"/>
  <c r="E65" i="31"/>
  <c r="K65" i="31" s="1"/>
  <c r="D65" i="31"/>
  <c r="B65" i="31"/>
  <c r="F64" i="31"/>
  <c r="E64" i="31"/>
  <c r="L64" i="31" s="1"/>
  <c r="D64" i="31"/>
  <c r="B64" i="31"/>
  <c r="F63" i="31"/>
  <c r="E63" i="31"/>
  <c r="L63" i="31" s="1"/>
  <c r="D63" i="31"/>
  <c r="B63" i="31"/>
  <c r="F62" i="31"/>
  <c r="I62" i="31" s="1"/>
  <c r="E62" i="31"/>
  <c r="L62" i="31" s="1"/>
  <c r="D62" i="31"/>
  <c r="B62" i="31"/>
  <c r="F61" i="31"/>
  <c r="I61" i="31" s="1"/>
  <c r="E61" i="31"/>
  <c r="D61" i="31"/>
  <c r="B61" i="31"/>
  <c r="F60" i="31"/>
  <c r="I60" i="31" s="1"/>
  <c r="E60" i="31"/>
  <c r="L60" i="31" s="1"/>
  <c r="D60" i="31"/>
  <c r="B60" i="31"/>
  <c r="F59" i="31"/>
  <c r="I59" i="31" s="1"/>
  <c r="E59" i="31"/>
  <c r="K59" i="31" s="1"/>
  <c r="D59" i="31"/>
  <c r="B59" i="31"/>
  <c r="F58" i="31"/>
  <c r="E58" i="31"/>
  <c r="L58" i="31" s="1"/>
  <c r="D58" i="31"/>
  <c r="B58" i="31"/>
  <c r="F57" i="31"/>
  <c r="E57" i="31"/>
  <c r="L57" i="31" s="1"/>
  <c r="D57" i="31"/>
  <c r="B57" i="31"/>
  <c r="F56" i="31"/>
  <c r="E56" i="31"/>
  <c r="L56" i="31" s="1"/>
  <c r="D56" i="31"/>
  <c r="B56" i="31"/>
  <c r="F55" i="31"/>
  <c r="I55" i="31" s="1"/>
  <c r="E55" i="31"/>
  <c r="L55" i="31" s="1"/>
  <c r="D55" i="31"/>
  <c r="B55" i="31"/>
  <c r="F54" i="31"/>
  <c r="E54" i="31"/>
  <c r="L54" i="31" s="1"/>
  <c r="D54" i="31"/>
  <c r="B54" i="31"/>
  <c r="F53" i="31"/>
  <c r="I53" i="31" s="1"/>
  <c r="E53" i="31"/>
  <c r="D53" i="31"/>
  <c r="B53" i="31"/>
  <c r="F52" i="31"/>
  <c r="E52" i="31"/>
  <c r="K52" i="31" s="1"/>
  <c r="D52" i="31"/>
  <c r="B52" i="31"/>
  <c r="F51" i="31"/>
  <c r="E51" i="31"/>
  <c r="L51" i="31" s="1"/>
  <c r="D51" i="31"/>
  <c r="B51" i="31"/>
  <c r="F50" i="31"/>
  <c r="E50" i="31"/>
  <c r="K50" i="31" s="1"/>
  <c r="D50" i="31"/>
  <c r="B50" i="31"/>
  <c r="F49" i="31"/>
  <c r="E49" i="31"/>
  <c r="L49" i="31" s="1"/>
  <c r="D49" i="31"/>
  <c r="B49" i="31"/>
  <c r="F48" i="31"/>
  <c r="E48" i="31"/>
  <c r="L48" i="31" s="1"/>
  <c r="D48" i="31"/>
  <c r="B48" i="31"/>
  <c r="F47" i="31"/>
  <c r="E47" i="31"/>
  <c r="K47" i="31" s="1"/>
  <c r="D47" i="31"/>
  <c r="B47" i="31"/>
  <c r="F46" i="31"/>
  <c r="I46" i="31" s="1"/>
  <c r="E46" i="31"/>
  <c r="L46" i="31" s="1"/>
  <c r="D46" i="31"/>
  <c r="B46" i="31"/>
  <c r="F45" i="31"/>
  <c r="E45" i="31"/>
  <c r="D45" i="31"/>
  <c r="B45" i="31"/>
  <c r="F44" i="31"/>
  <c r="E44" i="31"/>
  <c r="K44" i="31" s="1"/>
  <c r="D44" i="31"/>
  <c r="B44" i="31"/>
  <c r="F43" i="31"/>
  <c r="I43" i="31" s="1"/>
  <c r="E43" i="31"/>
  <c r="L43" i="31" s="1"/>
  <c r="D43" i="31"/>
  <c r="B43" i="31"/>
  <c r="F42" i="31"/>
  <c r="I42" i="31" s="1"/>
  <c r="E42" i="31"/>
  <c r="L42" i="31" s="1"/>
  <c r="D42" i="31"/>
  <c r="B42" i="31"/>
  <c r="F41" i="31"/>
  <c r="I41" i="31" s="1"/>
  <c r="E41" i="31"/>
  <c r="L41" i="31" s="1"/>
  <c r="D41" i="31"/>
  <c r="B41" i="31"/>
  <c r="F40" i="31"/>
  <c r="E40" i="31"/>
  <c r="L40" i="31" s="1"/>
  <c r="D40" i="31"/>
  <c r="B40" i="31"/>
  <c r="F39" i="31"/>
  <c r="I39" i="31" s="1"/>
  <c r="E39" i="31"/>
  <c r="K39" i="31" s="1"/>
  <c r="D39" i="31"/>
  <c r="B39" i="31"/>
  <c r="F38" i="31"/>
  <c r="E38" i="31"/>
  <c r="L38" i="31" s="1"/>
  <c r="D38" i="31"/>
  <c r="B38" i="31"/>
  <c r="F37" i="31"/>
  <c r="E37" i="31"/>
  <c r="D37" i="31"/>
  <c r="B37" i="31"/>
  <c r="F36" i="31"/>
  <c r="E36" i="31"/>
  <c r="L36" i="31" s="1"/>
  <c r="D36" i="31"/>
  <c r="B36" i="31"/>
  <c r="F35" i="31"/>
  <c r="E35" i="31"/>
  <c r="K35" i="31" s="1"/>
  <c r="D35" i="31"/>
  <c r="B35" i="31"/>
  <c r="F34" i="31"/>
  <c r="E34" i="31"/>
  <c r="L34" i="31" s="1"/>
  <c r="D34" i="31"/>
  <c r="B34" i="31"/>
  <c r="O33" i="31"/>
  <c r="O114" i="31" s="1"/>
  <c r="F33" i="31"/>
  <c r="I33" i="31" s="1"/>
  <c r="E33" i="31"/>
  <c r="K33" i="31" s="1"/>
  <c r="D33" i="31"/>
  <c r="B33" i="31"/>
  <c r="F32" i="31"/>
  <c r="E32" i="31"/>
  <c r="K32" i="31" s="1"/>
  <c r="D32" i="31"/>
  <c r="B32" i="31"/>
  <c r="F31" i="31"/>
  <c r="E31" i="31"/>
  <c r="L31" i="31" s="1"/>
  <c r="D31" i="31"/>
  <c r="B31" i="31"/>
  <c r="F30" i="31"/>
  <c r="E30" i="31"/>
  <c r="L30" i="31" s="1"/>
  <c r="D30" i="31"/>
  <c r="B30" i="31"/>
  <c r="F29" i="31"/>
  <c r="I29" i="31" s="1"/>
  <c r="E29" i="31"/>
  <c r="L29" i="31" s="1"/>
  <c r="D29" i="31"/>
  <c r="B29" i="31"/>
  <c r="F28" i="31"/>
  <c r="I28" i="31" s="1"/>
  <c r="E28" i="31"/>
  <c r="L28" i="31" s="1"/>
  <c r="D28" i="31"/>
  <c r="B28" i="31"/>
  <c r="F27" i="31"/>
  <c r="E27" i="31"/>
  <c r="L27" i="31" s="1"/>
  <c r="D27" i="31"/>
  <c r="B27" i="31"/>
  <c r="F26" i="31"/>
  <c r="I26" i="31" s="1"/>
  <c r="E26" i="31"/>
  <c r="L26" i="31" s="1"/>
  <c r="D26" i="31"/>
  <c r="B26" i="31"/>
  <c r="F25" i="31"/>
  <c r="I25" i="31" s="1"/>
  <c r="E25" i="31"/>
  <c r="L25" i="31" s="1"/>
  <c r="D25" i="31"/>
  <c r="B25" i="31"/>
  <c r="F24" i="31"/>
  <c r="E24" i="31"/>
  <c r="K24" i="31" s="1"/>
  <c r="D24" i="31"/>
  <c r="B24" i="31"/>
  <c r="F23" i="31"/>
  <c r="I23" i="31" s="1"/>
  <c r="E23" i="31"/>
  <c r="L23" i="31" s="1"/>
  <c r="D23" i="31"/>
  <c r="B23" i="31"/>
  <c r="F22" i="31"/>
  <c r="I22" i="31" s="1"/>
  <c r="E22" i="31"/>
  <c r="K22" i="31" s="1"/>
  <c r="D22" i="31"/>
  <c r="B22" i="31"/>
  <c r="F21" i="31"/>
  <c r="E21" i="31"/>
  <c r="L21" i="31" s="1"/>
  <c r="D21" i="31"/>
  <c r="B21" i="31"/>
  <c r="F20" i="31"/>
  <c r="E20" i="31"/>
  <c r="K20" i="31" s="1"/>
  <c r="D20" i="31"/>
  <c r="B20" i="31"/>
  <c r="O19" i="31"/>
  <c r="F19" i="31"/>
  <c r="I19" i="31" s="1"/>
  <c r="E19" i="31"/>
  <c r="L19" i="31" s="1"/>
  <c r="D19" i="31"/>
  <c r="B19" i="31"/>
  <c r="F18" i="31"/>
  <c r="E18" i="31"/>
  <c r="L18" i="31" s="1"/>
  <c r="D18" i="31"/>
  <c r="B18" i="31"/>
  <c r="F17" i="31"/>
  <c r="E17" i="31"/>
  <c r="K17" i="31" s="1"/>
  <c r="D17" i="31"/>
  <c r="B17" i="31"/>
  <c r="F16" i="31"/>
  <c r="I16" i="31" s="1"/>
  <c r="E16" i="31"/>
  <c r="D16" i="31"/>
  <c r="B16" i="31"/>
  <c r="F15" i="31"/>
  <c r="E15" i="31"/>
  <c r="L15" i="31" s="1"/>
  <c r="D15" i="31"/>
  <c r="B15" i="31"/>
  <c r="F14" i="31"/>
  <c r="E14" i="31"/>
  <c r="K14" i="31" s="1"/>
  <c r="D14" i="31"/>
  <c r="B14" i="31"/>
  <c r="F13" i="31"/>
  <c r="E13" i="31"/>
  <c r="L13" i="31" s="1"/>
  <c r="D13" i="31"/>
  <c r="B13" i="31"/>
  <c r="F12" i="31"/>
  <c r="I12" i="31" s="1"/>
  <c r="E12" i="31"/>
  <c r="L12" i="31" s="1"/>
  <c r="D12" i="31"/>
  <c r="B12" i="31"/>
  <c r="F11" i="31"/>
  <c r="I11" i="31" s="1"/>
  <c r="E11" i="31"/>
  <c r="L11" i="31" s="1"/>
  <c r="D11" i="31"/>
  <c r="B11" i="31"/>
  <c r="F10" i="31"/>
  <c r="I10" i="31" s="1"/>
  <c r="E10" i="31"/>
  <c r="K10" i="31" s="1"/>
  <c r="D10" i="31"/>
  <c r="B10" i="31"/>
  <c r="F9" i="31"/>
  <c r="E9" i="31"/>
  <c r="K9" i="31" s="1"/>
  <c r="D9" i="31"/>
  <c r="B9" i="31"/>
  <c r="F8" i="31"/>
  <c r="I8" i="31" s="1"/>
  <c r="E8" i="31"/>
  <c r="D8" i="31"/>
  <c r="B8" i="31"/>
  <c r="C5" i="31"/>
  <c r="O4" i="31"/>
  <c r="O5" i="31" s="1"/>
  <c r="O121" i="31" s="1"/>
  <c r="G4" i="31"/>
  <c r="C4" i="31"/>
  <c r="O3" i="31"/>
  <c r="C3" i="31"/>
  <c r="O2" i="31"/>
  <c r="E2" i="31"/>
  <c r="C2" i="31"/>
  <c r="O1" i="31"/>
  <c r="E1" i="31"/>
  <c r="C1" i="31"/>
  <c r="H127" i="29"/>
  <c r="C24" i="30"/>
  <c r="F45" i="30"/>
  <c r="I45" i="30" s="1"/>
  <c r="D45" i="30"/>
  <c r="C45" i="30"/>
  <c r="F44" i="30"/>
  <c r="I44" i="30" s="1"/>
  <c r="D44" i="30"/>
  <c r="C44" i="30"/>
  <c r="F43" i="30"/>
  <c r="I43" i="30" s="1"/>
  <c r="D43" i="30"/>
  <c r="C43" i="30"/>
  <c r="F42" i="30"/>
  <c r="I42" i="30" s="1"/>
  <c r="D42" i="30"/>
  <c r="C42" i="30"/>
  <c r="F41" i="30"/>
  <c r="I41" i="30" s="1"/>
  <c r="D41" i="30"/>
  <c r="C41" i="30"/>
  <c r="F40" i="30"/>
  <c r="I40" i="30" s="1"/>
  <c r="D40" i="30"/>
  <c r="C40" i="30"/>
  <c r="F39" i="30"/>
  <c r="I39" i="30" s="1"/>
  <c r="D39" i="30"/>
  <c r="C39" i="30"/>
  <c r="F38" i="30"/>
  <c r="I38" i="30" s="1"/>
  <c r="D38" i="30"/>
  <c r="C38" i="30"/>
  <c r="F37" i="30"/>
  <c r="I37" i="30" s="1"/>
  <c r="D37" i="30"/>
  <c r="C37" i="30"/>
  <c r="F36" i="30"/>
  <c r="I36" i="30" s="1"/>
  <c r="D36" i="30"/>
  <c r="C36" i="30"/>
  <c r="F35" i="30"/>
  <c r="I35" i="30" s="1"/>
  <c r="D35" i="30"/>
  <c r="C35" i="30"/>
  <c r="F34" i="30"/>
  <c r="I34" i="30" s="1"/>
  <c r="D34" i="30"/>
  <c r="C34" i="30"/>
  <c r="F33" i="30"/>
  <c r="I33" i="30" s="1"/>
  <c r="D33" i="30"/>
  <c r="C33" i="30"/>
  <c r="F32" i="30"/>
  <c r="I32" i="30" s="1"/>
  <c r="D32" i="30"/>
  <c r="C32" i="30"/>
  <c r="F31" i="30"/>
  <c r="I31" i="30" s="1"/>
  <c r="D31" i="30"/>
  <c r="C31" i="30"/>
  <c r="F30" i="30"/>
  <c r="I30" i="30" s="1"/>
  <c r="D30" i="30"/>
  <c r="C30" i="30"/>
  <c r="F29" i="30"/>
  <c r="I29" i="30" s="1"/>
  <c r="D29" i="30"/>
  <c r="C29" i="30"/>
  <c r="F28" i="30"/>
  <c r="I28" i="30" s="1"/>
  <c r="D28" i="30"/>
  <c r="C28" i="30"/>
  <c r="F27" i="30"/>
  <c r="I27" i="30" s="1"/>
  <c r="D27" i="30"/>
  <c r="C27" i="30"/>
  <c r="F26" i="30"/>
  <c r="I26" i="30" s="1"/>
  <c r="D26" i="30"/>
  <c r="C26" i="30"/>
  <c r="F25" i="30"/>
  <c r="I25" i="30" s="1"/>
  <c r="D25" i="30"/>
  <c r="C25" i="30"/>
  <c r="F24" i="30"/>
  <c r="I24" i="30" s="1"/>
  <c r="D24" i="30"/>
  <c r="M22" i="30"/>
  <c r="L22" i="30"/>
  <c r="H20" i="30" a="1"/>
  <c r="H20" i="30" s="1"/>
  <c r="F20" i="30" a="1"/>
  <c r="F20" i="30" s="1"/>
  <c r="B15" i="30"/>
  <c r="I14" i="30"/>
  <c r="B13" i="30"/>
  <c r="I12" i="30"/>
  <c r="B11" i="30"/>
  <c r="B7" i="30"/>
  <c r="I4" i="30"/>
  <c r="I3" i="30"/>
  <c r="F3" i="30"/>
  <c r="G120" i="29"/>
  <c r="E120" i="29"/>
  <c r="G119" i="29"/>
  <c r="E119" i="29"/>
  <c r="G118" i="29"/>
  <c r="E118" i="29"/>
  <c r="G117" i="29"/>
  <c r="E117" i="29"/>
  <c r="G116" i="29"/>
  <c r="E116" i="29"/>
  <c r="G115" i="29"/>
  <c r="E115" i="29"/>
  <c r="I114" i="29"/>
  <c r="G114" i="29"/>
  <c r="E114" i="29"/>
  <c r="I113" i="29"/>
  <c r="G113" i="29"/>
  <c r="E113" i="29"/>
  <c r="M112" i="29"/>
  <c r="I112" i="29"/>
  <c r="G112" i="29"/>
  <c r="E112" i="29"/>
  <c r="I111" i="29"/>
  <c r="G111" i="29"/>
  <c r="E111" i="29"/>
  <c r="F107" i="29"/>
  <c r="E107" i="29"/>
  <c r="L107" i="29" s="1"/>
  <c r="D107" i="29"/>
  <c r="B107" i="29"/>
  <c r="F106" i="29"/>
  <c r="I106" i="29" s="1"/>
  <c r="E106" i="29"/>
  <c r="L106" i="29" s="1"/>
  <c r="D106" i="29"/>
  <c r="B106" i="29"/>
  <c r="F105" i="29"/>
  <c r="E105" i="29"/>
  <c r="L105" i="29" s="1"/>
  <c r="D105" i="29"/>
  <c r="B105" i="29"/>
  <c r="F104" i="29"/>
  <c r="E104" i="29"/>
  <c r="L104" i="29" s="1"/>
  <c r="D104" i="29"/>
  <c r="B104" i="29"/>
  <c r="F103" i="29"/>
  <c r="E103" i="29"/>
  <c r="L103" i="29" s="1"/>
  <c r="D103" i="29"/>
  <c r="B103" i="29"/>
  <c r="F102" i="29"/>
  <c r="I102" i="29" s="1"/>
  <c r="E102" i="29"/>
  <c r="L102" i="29" s="1"/>
  <c r="D102" i="29"/>
  <c r="B102" i="29"/>
  <c r="F101" i="29"/>
  <c r="E101" i="29"/>
  <c r="L101" i="29" s="1"/>
  <c r="D101" i="29"/>
  <c r="B101" i="29"/>
  <c r="F100" i="29"/>
  <c r="E100" i="29"/>
  <c r="L100" i="29" s="1"/>
  <c r="D100" i="29"/>
  <c r="B100" i="29"/>
  <c r="F99" i="29"/>
  <c r="E99" i="29"/>
  <c r="L99" i="29" s="1"/>
  <c r="D99" i="29"/>
  <c r="B99" i="29"/>
  <c r="F98" i="29"/>
  <c r="I98" i="29" s="1"/>
  <c r="E98" i="29"/>
  <c r="L98" i="29" s="1"/>
  <c r="D98" i="29"/>
  <c r="B98" i="29"/>
  <c r="F97" i="29"/>
  <c r="E97" i="29"/>
  <c r="L97" i="29" s="1"/>
  <c r="D97" i="29"/>
  <c r="B97" i="29"/>
  <c r="F96" i="29"/>
  <c r="E96" i="29"/>
  <c r="L96" i="29" s="1"/>
  <c r="D96" i="29"/>
  <c r="B96" i="29"/>
  <c r="F95" i="29"/>
  <c r="E95" i="29"/>
  <c r="L95" i="29" s="1"/>
  <c r="D95" i="29"/>
  <c r="B95" i="29"/>
  <c r="F94" i="29"/>
  <c r="I94" i="29" s="1"/>
  <c r="E94" i="29"/>
  <c r="L94" i="29" s="1"/>
  <c r="D94" i="29"/>
  <c r="B94" i="29"/>
  <c r="F93" i="29"/>
  <c r="E93" i="29"/>
  <c r="L93" i="29" s="1"/>
  <c r="D93" i="29"/>
  <c r="B93" i="29"/>
  <c r="F92" i="29"/>
  <c r="E92" i="29"/>
  <c r="L92" i="29" s="1"/>
  <c r="D92" i="29"/>
  <c r="B92" i="29"/>
  <c r="F91" i="29"/>
  <c r="E91" i="29"/>
  <c r="L91" i="29" s="1"/>
  <c r="D91" i="29"/>
  <c r="B91" i="29"/>
  <c r="F90" i="29"/>
  <c r="I90" i="29" s="1"/>
  <c r="E90" i="29"/>
  <c r="L90" i="29" s="1"/>
  <c r="D90" i="29"/>
  <c r="B90" i="29"/>
  <c r="F89" i="29"/>
  <c r="I89" i="29" s="1"/>
  <c r="E89" i="29"/>
  <c r="L89" i="29" s="1"/>
  <c r="D89" i="29"/>
  <c r="B89" i="29"/>
  <c r="F88" i="29"/>
  <c r="E88" i="29"/>
  <c r="L88" i="29" s="1"/>
  <c r="D88" i="29"/>
  <c r="B88" i="29"/>
  <c r="F87" i="29"/>
  <c r="E87" i="29"/>
  <c r="L87" i="29" s="1"/>
  <c r="D87" i="29"/>
  <c r="B87" i="29"/>
  <c r="F86" i="29"/>
  <c r="I86" i="29" s="1"/>
  <c r="E86" i="29"/>
  <c r="L86" i="29" s="1"/>
  <c r="D86" i="29"/>
  <c r="B86" i="29"/>
  <c r="F85" i="29"/>
  <c r="E85" i="29"/>
  <c r="K85" i="29" s="1"/>
  <c r="D85" i="29"/>
  <c r="B85" i="29"/>
  <c r="F84" i="29"/>
  <c r="E84" i="29"/>
  <c r="L84" i="29" s="1"/>
  <c r="D84" i="29"/>
  <c r="B84" i="29"/>
  <c r="F83" i="29"/>
  <c r="E83" i="29"/>
  <c r="L83" i="29" s="1"/>
  <c r="D83" i="29"/>
  <c r="B83" i="29"/>
  <c r="F82" i="29"/>
  <c r="I82" i="29" s="1"/>
  <c r="E82" i="29"/>
  <c r="L82" i="29" s="1"/>
  <c r="D82" i="29"/>
  <c r="B82" i="29"/>
  <c r="F22" i="29"/>
  <c r="I22" i="29" s="1"/>
  <c r="E22" i="29"/>
  <c r="L22" i="29" s="1"/>
  <c r="D22" i="29"/>
  <c r="B22" i="29"/>
  <c r="F81" i="29"/>
  <c r="E81" i="29"/>
  <c r="L81" i="29" s="1"/>
  <c r="D81" i="29"/>
  <c r="B81" i="29"/>
  <c r="F80" i="29"/>
  <c r="E80" i="29"/>
  <c r="L80" i="29" s="1"/>
  <c r="D80" i="29"/>
  <c r="B80" i="29"/>
  <c r="F79" i="29"/>
  <c r="I79" i="29" s="1"/>
  <c r="E79" i="29"/>
  <c r="L79" i="29" s="1"/>
  <c r="D79" i="29"/>
  <c r="B79" i="29"/>
  <c r="F78" i="29"/>
  <c r="E78" i="29"/>
  <c r="L78" i="29" s="1"/>
  <c r="D78" i="29"/>
  <c r="B78" i="29"/>
  <c r="F77" i="29"/>
  <c r="E77" i="29"/>
  <c r="K77" i="29" s="1"/>
  <c r="D77" i="29"/>
  <c r="B77" i="29"/>
  <c r="F76" i="29"/>
  <c r="E76" i="29"/>
  <c r="K76" i="29" s="1"/>
  <c r="D76" i="29"/>
  <c r="B76" i="29"/>
  <c r="F75" i="29"/>
  <c r="I75" i="29" s="1"/>
  <c r="E75" i="29"/>
  <c r="K75" i="29" s="1"/>
  <c r="D75" i="29"/>
  <c r="B75" i="29"/>
  <c r="F74" i="29"/>
  <c r="I74" i="29" s="1"/>
  <c r="E74" i="29"/>
  <c r="L74" i="29" s="1"/>
  <c r="D74" i="29"/>
  <c r="B74" i="29"/>
  <c r="F73" i="29"/>
  <c r="E73" i="29"/>
  <c r="K73" i="29" s="1"/>
  <c r="D73" i="29"/>
  <c r="B73" i="29"/>
  <c r="F72" i="29"/>
  <c r="E72" i="29"/>
  <c r="L72" i="29" s="1"/>
  <c r="D72" i="29"/>
  <c r="B72" i="29"/>
  <c r="F71" i="29"/>
  <c r="I71" i="29" s="1"/>
  <c r="E71" i="29"/>
  <c r="K71" i="29" s="1"/>
  <c r="D71" i="29"/>
  <c r="B71" i="29"/>
  <c r="F70" i="29"/>
  <c r="I70" i="29" s="1"/>
  <c r="E70" i="29"/>
  <c r="K70" i="29" s="1"/>
  <c r="D70" i="29"/>
  <c r="B70" i="29"/>
  <c r="F69" i="29"/>
  <c r="E69" i="29"/>
  <c r="L69" i="29" s="1"/>
  <c r="D69" i="29"/>
  <c r="B69" i="29"/>
  <c r="F68" i="29"/>
  <c r="E68" i="29"/>
  <c r="L68" i="29" s="1"/>
  <c r="D68" i="29"/>
  <c r="B68" i="29"/>
  <c r="F67" i="29"/>
  <c r="I67" i="29" s="1"/>
  <c r="E67" i="29"/>
  <c r="K67" i="29" s="1"/>
  <c r="D67" i="29"/>
  <c r="B67" i="29"/>
  <c r="F66" i="29"/>
  <c r="I66" i="29" s="1"/>
  <c r="E66" i="29"/>
  <c r="L66" i="29" s="1"/>
  <c r="D66" i="29"/>
  <c r="B66" i="29"/>
  <c r="F65" i="29"/>
  <c r="E65" i="29"/>
  <c r="L65" i="29" s="1"/>
  <c r="D65" i="29"/>
  <c r="B65" i="29"/>
  <c r="F64" i="29"/>
  <c r="E64" i="29"/>
  <c r="K64" i="29" s="1"/>
  <c r="D64" i="29"/>
  <c r="B64" i="29"/>
  <c r="F63" i="29"/>
  <c r="I63" i="29" s="1"/>
  <c r="E63" i="29"/>
  <c r="L63" i="29" s="1"/>
  <c r="D63" i="29"/>
  <c r="B63" i="29"/>
  <c r="F62" i="29"/>
  <c r="I62" i="29" s="1"/>
  <c r="E62" i="29"/>
  <c r="L62" i="29" s="1"/>
  <c r="D62" i="29"/>
  <c r="B62" i="29"/>
  <c r="F61" i="29"/>
  <c r="E61" i="29"/>
  <c r="L61" i="29" s="1"/>
  <c r="D61" i="29"/>
  <c r="B61" i="29"/>
  <c r="F60" i="29"/>
  <c r="E60" i="29"/>
  <c r="L60" i="29" s="1"/>
  <c r="D60" i="29"/>
  <c r="B60" i="29"/>
  <c r="F59" i="29"/>
  <c r="I59" i="29" s="1"/>
  <c r="E59" i="29"/>
  <c r="L59" i="29" s="1"/>
  <c r="D59" i="29"/>
  <c r="B59" i="29"/>
  <c r="F58" i="29"/>
  <c r="I58" i="29" s="1"/>
  <c r="E58" i="29"/>
  <c r="L58" i="29" s="1"/>
  <c r="D58" i="29"/>
  <c r="B58" i="29"/>
  <c r="F57" i="29"/>
  <c r="E57" i="29"/>
  <c r="L57" i="29" s="1"/>
  <c r="D57" i="29"/>
  <c r="B57" i="29"/>
  <c r="F56" i="29"/>
  <c r="E56" i="29"/>
  <c r="K56" i="29" s="1"/>
  <c r="D56" i="29"/>
  <c r="B56" i="29"/>
  <c r="F55" i="29"/>
  <c r="I55" i="29" s="1"/>
  <c r="E55" i="29"/>
  <c r="K55" i="29" s="1"/>
  <c r="D55" i="29"/>
  <c r="B55" i="29"/>
  <c r="F54" i="29"/>
  <c r="I54" i="29" s="1"/>
  <c r="E54" i="29"/>
  <c r="D54" i="29"/>
  <c r="B54" i="29"/>
  <c r="F53" i="29"/>
  <c r="E53" i="29"/>
  <c r="K53" i="29" s="1"/>
  <c r="D53" i="29"/>
  <c r="B53" i="29"/>
  <c r="F52" i="29"/>
  <c r="E52" i="29"/>
  <c r="L52" i="29" s="1"/>
  <c r="D52" i="29"/>
  <c r="B52" i="29"/>
  <c r="F51" i="29"/>
  <c r="I51" i="29" s="1"/>
  <c r="E51" i="29"/>
  <c r="K51" i="29" s="1"/>
  <c r="D51" i="29"/>
  <c r="B51" i="29"/>
  <c r="F50" i="29"/>
  <c r="I50" i="29" s="1"/>
  <c r="E50" i="29"/>
  <c r="L50" i="29" s="1"/>
  <c r="D50" i="29"/>
  <c r="B50" i="29"/>
  <c r="F49" i="29"/>
  <c r="E49" i="29"/>
  <c r="K49" i="29" s="1"/>
  <c r="D49" i="29"/>
  <c r="B49" i="29"/>
  <c r="F48" i="29"/>
  <c r="E48" i="29"/>
  <c r="L48" i="29" s="1"/>
  <c r="D48" i="29"/>
  <c r="B48" i="29"/>
  <c r="F47" i="29"/>
  <c r="I47" i="29" s="1"/>
  <c r="E47" i="29"/>
  <c r="K47" i="29" s="1"/>
  <c r="D47" i="29"/>
  <c r="B47" i="29"/>
  <c r="F46" i="29"/>
  <c r="I46" i="29" s="1"/>
  <c r="E46" i="29"/>
  <c r="L46" i="29" s="1"/>
  <c r="D46" i="29"/>
  <c r="B46" i="29"/>
  <c r="F45" i="29"/>
  <c r="E45" i="29"/>
  <c r="K45" i="29" s="1"/>
  <c r="D45" i="29"/>
  <c r="B45" i="29"/>
  <c r="F44" i="29"/>
  <c r="E44" i="29"/>
  <c r="L44" i="29" s="1"/>
  <c r="D44" i="29"/>
  <c r="B44" i="29"/>
  <c r="F43" i="29"/>
  <c r="I43" i="29" s="1"/>
  <c r="E43" i="29"/>
  <c r="K43" i="29" s="1"/>
  <c r="D43" i="29"/>
  <c r="B43" i="29"/>
  <c r="F42" i="29"/>
  <c r="I42" i="29" s="1"/>
  <c r="E42" i="29"/>
  <c r="L42" i="29" s="1"/>
  <c r="D42" i="29"/>
  <c r="B42" i="29"/>
  <c r="F41" i="29"/>
  <c r="E41" i="29"/>
  <c r="K41" i="29" s="1"/>
  <c r="D41" i="29"/>
  <c r="B41" i="29"/>
  <c r="F40" i="29"/>
  <c r="E40" i="29"/>
  <c r="L40" i="29" s="1"/>
  <c r="D40" i="29"/>
  <c r="B40" i="29"/>
  <c r="F39" i="29"/>
  <c r="I39" i="29" s="1"/>
  <c r="E39" i="29"/>
  <c r="L39" i="29" s="1"/>
  <c r="D39" i="29"/>
  <c r="B39" i="29"/>
  <c r="F38" i="29"/>
  <c r="E38" i="29"/>
  <c r="L38" i="29" s="1"/>
  <c r="D38" i="29"/>
  <c r="B38" i="29"/>
  <c r="F37" i="29"/>
  <c r="E37" i="29"/>
  <c r="K37" i="29" s="1"/>
  <c r="D37" i="29"/>
  <c r="B37" i="29"/>
  <c r="F36" i="29"/>
  <c r="E36" i="29"/>
  <c r="K36" i="29" s="1"/>
  <c r="D36" i="29"/>
  <c r="B36" i="29"/>
  <c r="F35" i="29"/>
  <c r="I35" i="29" s="1"/>
  <c r="E35" i="29"/>
  <c r="L35" i="29" s="1"/>
  <c r="D35" i="29"/>
  <c r="B35" i="29"/>
  <c r="F34" i="29"/>
  <c r="E34" i="29"/>
  <c r="L34" i="29" s="1"/>
  <c r="D34" i="29"/>
  <c r="B34" i="29"/>
  <c r="O33" i="29"/>
  <c r="O114" i="29" s="1"/>
  <c r="F33" i="29"/>
  <c r="E33" i="29"/>
  <c r="K33" i="29" s="1"/>
  <c r="D33" i="29"/>
  <c r="B33" i="29"/>
  <c r="F32" i="29"/>
  <c r="I32" i="29" s="1"/>
  <c r="E32" i="29"/>
  <c r="L32" i="29" s="1"/>
  <c r="D32" i="29"/>
  <c r="B32" i="29"/>
  <c r="F31" i="29"/>
  <c r="E31" i="29"/>
  <c r="K31" i="29" s="1"/>
  <c r="D31" i="29"/>
  <c r="B31" i="29"/>
  <c r="F30" i="29"/>
  <c r="I30" i="29" s="1"/>
  <c r="E30" i="29"/>
  <c r="K30" i="29" s="1"/>
  <c r="D30" i="29"/>
  <c r="B30" i="29"/>
  <c r="F29" i="29"/>
  <c r="E29" i="29"/>
  <c r="K29" i="29" s="1"/>
  <c r="D29" i="29"/>
  <c r="B29" i="29"/>
  <c r="F28" i="29"/>
  <c r="I28" i="29" s="1"/>
  <c r="E28" i="29"/>
  <c r="L28" i="29" s="1"/>
  <c r="D28" i="29"/>
  <c r="B28" i="29"/>
  <c r="F27" i="29"/>
  <c r="E27" i="29"/>
  <c r="L27" i="29" s="1"/>
  <c r="D27" i="29"/>
  <c r="B27" i="29"/>
  <c r="F26" i="29"/>
  <c r="I26" i="29" s="1"/>
  <c r="E26" i="29"/>
  <c r="L26" i="29" s="1"/>
  <c r="D26" i="29"/>
  <c r="B26" i="29"/>
  <c r="F25" i="29"/>
  <c r="E25" i="29"/>
  <c r="K25" i="29" s="1"/>
  <c r="D25" i="29"/>
  <c r="B25" i="29"/>
  <c r="F24" i="29"/>
  <c r="I24" i="29" s="1"/>
  <c r="E24" i="29"/>
  <c r="L24" i="29" s="1"/>
  <c r="D24" i="29"/>
  <c r="B24" i="29"/>
  <c r="F23" i="29"/>
  <c r="I23" i="29" s="1"/>
  <c r="E23" i="29"/>
  <c r="L23" i="29" s="1"/>
  <c r="D23" i="29"/>
  <c r="B23" i="29"/>
  <c r="F21" i="29"/>
  <c r="I21" i="29" s="1"/>
  <c r="E21" i="29"/>
  <c r="K21" i="29" s="1"/>
  <c r="D21" i="29"/>
  <c r="B21" i="29"/>
  <c r="F20" i="29"/>
  <c r="E20" i="29"/>
  <c r="K20" i="29" s="1"/>
  <c r="D20" i="29"/>
  <c r="B20" i="29"/>
  <c r="O19" i="29"/>
  <c r="F19" i="29"/>
  <c r="I19" i="29" s="1"/>
  <c r="E19" i="29"/>
  <c r="L19" i="29" s="1"/>
  <c r="D19" i="29"/>
  <c r="B19" i="29"/>
  <c r="F18" i="29"/>
  <c r="I18" i="29" s="1"/>
  <c r="E18" i="29"/>
  <c r="K18" i="29" s="1"/>
  <c r="D18" i="29"/>
  <c r="B18" i="29"/>
  <c r="F17" i="29"/>
  <c r="E17" i="29"/>
  <c r="L17" i="29" s="1"/>
  <c r="D17" i="29"/>
  <c r="B17" i="29"/>
  <c r="F16" i="29"/>
  <c r="E16" i="29"/>
  <c r="L16" i="29" s="1"/>
  <c r="D16" i="29"/>
  <c r="B16" i="29"/>
  <c r="F15" i="29"/>
  <c r="I15" i="29" s="1"/>
  <c r="E15" i="29"/>
  <c r="L15" i="29" s="1"/>
  <c r="D15" i="29"/>
  <c r="B15" i="29"/>
  <c r="F14" i="29"/>
  <c r="I14" i="29" s="1"/>
  <c r="E14" i="29"/>
  <c r="K14" i="29" s="1"/>
  <c r="D14" i="29"/>
  <c r="B14" i="29"/>
  <c r="F13" i="29"/>
  <c r="E13" i="29"/>
  <c r="L13" i="29" s="1"/>
  <c r="D13" i="29"/>
  <c r="B13" i="29"/>
  <c r="F12" i="29"/>
  <c r="E12" i="29"/>
  <c r="L12" i="29" s="1"/>
  <c r="D12" i="29"/>
  <c r="B12" i="29"/>
  <c r="F11" i="29"/>
  <c r="I11" i="29" s="1"/>
  <c r="E11" i="29"/>
  <c r="L11" i="29" s="1"/>
  <c r="D11" i="29"/>
  <c r="B11" i="29"/>
  <c r="F10" i="29"/>
  <c r="I10" i="29" s="1"/>
  <c r="E10" i="29"/>
  <c r="K10" i="29" s="1"/>
  <c r="D10" i="29"/>
  <c r="B10" i="29"/>
  <c r="F9" i="29"/>
  <c r="I9" i="29" s="1"/>
  <c r="E9" i="29"/>
  <c r="L9" i="29" s="1"/>
  <c r="D9" i="29"/>
  <c r="B9" i="29"/>
  <c r="F8" i="29"/>
  <c r="I8" i="29" s="1"/>
  <c r="E8" i="29"/>
  <c r="L8" i="29" s="1"/>
  <c r="D8" i="29"/>
  <c r="B8" i="29"/>
  <c r="C5" i="29"/>
  <c r="O4" i="29"/>
  <c r="G4" i="29"/>
  <c r="C4" i="29"/>
  <c r="O3" i="29"/>
  <c r="C3" i="29"/>
  <c r="O2" i="29"/>
  <c r="E2" i="29"/>
  <c r="C2" i="29"/>
  <c r="O1" i="29"/>
  <c r="E1" i="29"/>
  <c r="C1" i="29"/>
  <c r="H128" i="42" l="1"/>
  <c r="O123" i="42"/>
  <c r="M81" i="36"/>
  <c r="M90" i="36"/>
  <c r="M75" i="36"/>
  <c r="M48" i="36"/>
  <c r="M97" i="36"/>
  <c r="M16" i="37"/>
  <c r="M84" i="37"/>
  <c r="M16" i="36"/>
  <c r="M66" i="37"/>
  <c r="M30" i="36"/>
  <c r="M29" i="37"/>
  <c r="J93" i="34"/>
  <c r="M24" i="37"/>
  <c r="M20" i="37"/>
  <c r="M10" i="36"/>
  <c r="M12" i="37"/>
  <c r="M72" i="37"/>
  <c r="M60" i="36"/>
  <c r="M94" i="37"/>
  <c r="M99" i="36"/>
  <c r="M47" i="37"/>
  <c r="M46" i="35"/>
  <c r="M56" i="36"/>
  <c r="M29" i="35"/>
  <c r="M25" i="35"/>
  <c r="M54" i="37"/>
  <c r="M60" i="37"/>
  <c r="M73" i="35"/>
  <c r="M55" i="37"/>
  <c r="M89" i="37"/>
  <c r="M96" i="36"/>
  <c r="M65" i="37"/>
  <c r="M70" i="37"/>
  <c r="M61" i="35"/>
  <c r="M94" i="36"/>
  <c r="M36" i="36"/>
  <c r="M8" i="37"/>
  <c r="M102" i="37"/>
  <c r="M69" i="36"/>
  <c r="M32" i="36"/>
  <c r="M35" i="36"/>
  <c r="M78" i="35"/>
  <c r="M22" i="37"/>
  <c r="K102" i="34"/>
  <c r="M11" i="37"/>
  <c r="M106" i="37"/>
  <c r="M61" i="37"/>
  <c r="M62" i="37"/>
  <c r="M79" i="37"/>
  <c r="M44" i="36"/>
  <c r="M78" i="37"/>
  <c r="M70" i="35"/>
  <c r="M31" i="36"/>
  <c r="M13" i="36"/>
  <c r="M10" i="37"/>
  <c r="M74" i="37"/>
  <c r="J37" i="34"/>
  <c r="M29" i="36"/>
  <c r="M83" i="37"/>
  <c r="M28" i="36"/>
  <c r="M71" i="36"/>
  <c r="M20" i="36"/>
  <c r="M73" i="36"/>
  <c r="M98" i="36"/>
  <c r="M80" i="35"/>
  <c r="M85" i="36"/>
  <c r="M48" i="35"/>
  <c r="M34" i="37"/>
  <c r="M35" i="37"/>
  <c r="M77" i="37"/>
  <c r="R36" i="35"/>
  <c r="R42" i="36"/>
  <c r="R48" i="35"/>
  <c r="R51" i="37"/>
  <c r="R58" i="37"/>
  <c r="R61" i="37"/>
  <c r="R64" i="35"/>
  <c r="R67" i="36"/>
  <c r="R73" i="37"/>
  <c r="R79" i="36"/>
  <c r="R82" i="35"/>
  <c r="R88" i="35"/>
  <c r="R100" i="36"/>
  <c r="R106" i="37"/>
  <c r="M89" i="35"/>
  <c r="M62" i="36"/>
  <c r="R15" i="35"/>
  <c r="R21" i="36"/>
  <c r="M41" i="36"/>
  <c r="M75" i="37"/>
  <c r="M36" i="37"/>
  <c r="M65" i="35"/>
  <c r="M9" i="36"/>
  <c r="R13" i="35"/>
  <c r="M101" i="35"/>
  <c r="M72" i="35"/>
  <c r="M30" i="35"/>
  <c r="M56" i="35"/>
  <c r="M106" i="36"/>
  <c r="M98" i="37"/>
  <c r="M92" i="36"/>
  <c r="M57" i="36"/>
  <c r="M27" i="37"/>
  <c r="M28" i="35"/>
  <c r="M95" i="37"/>
  <c r="M53" i="36"/>
  <c r="R30" i="35"/>
  <c r="R25" i="35"/>
  <c r="R28" i="35"/>
  <c r="R103" i="34"/>
  <c r="M58" i="37"/>
  <c r="M48" i="37"/>
  <c r="R34" i="35"/>
  <c r="R40" i="35"/>
  <c r="R46" i="35"/>
  <c r="R55" i="36"/>
  <c r="R65" i="35"/>
  <c r="R68" i="35"/>
  <c r="R71" i="35"/>
  <c r="R74" i="36"/>
  <c r="R77" i="35"/>
  <c r="R80" i="35"/>
  <c r="R83" i="35"/>
  <c r="R89" i="35"/>
  <c r="R92" i="36"/>
  <c r="R95" i="35"/>
  <c r="R98" i="37"/>
  <c r="R104" i="35"/>
  <c r="M64" i="36"/>
  <c r="M91" i="37"/>
  <c r="M63" i="36"/>
  <c r="R11" i="36"/>
  <c r="R23" i="35"/>
  <c r="R26" i="35"/>
  <c r="R29" i="35"/>
  <c r="M54" i="36"/>
  <c r="M101" i="36"/>
  <c r="M99" i="35"/>
  <c r="R38" i="36"/>
  <c r="R41" i="35"/>
  <c r="R56" i="35"/>
  <c r="R63" i="36"/>
  <c r="R72" i="35"/>
  <c r="R87" i="35"/>
  <c r="R93" i="35"/>
  <c r="R105" i="35"/>
  <c r="R108" i="36"/>
  <c r="M88" i="35"/>
  <c r="M42" i="36"/>
  <c r="M87" i="36"/>
  <c r="M51" i="36"/>
  <c r="M10" i="35"/>
  <c r="M52" i="36"/>
  <c r="R27" i="36"/>
  <c r="M11" i="36"/>
  <c r="M15" i="35"/>
  <c r="M53" i="37"/>
  <c r="M90" i="37"/>
  <c r="M31" i="37"/>
  <c r="J18" i="34"/>
  <c r="M78" i="36"/>
  <c r="M103" i="36"/>
  <c r="M67" i="37"/>
  <c r="M101" i="37"/>
  <c r="M103" i="37"/>
  <c r="L12" i="34"/>
  <c r="R12" i="34" s="1"/>
  <c r="M13" i="35"/>
  <c r="M59" i="36"/>
  <c r="M28" i="37"/>
  <c r="M107" i="36"/>
  <c r="M73" i="37"/>
  <c r="M96" i="37"/>
  <c r="M84" i="36"/>
  <c r="M32" i="35"/>
  <c r="M38" i="36"/>
  <c r="M14" i="36"/>
  <c r="M23" i="36"/>
  <c r="M34" i="35"/>
  <c r="M39" i="36"/>
  <c r="M91" i="36"/>
  <c r="M45" i="36"/>
  <c r="M71" i="37"/>
  <c r="M89" i="36"/>
  <c r="M88" i="36"/>
  <c r="M68" i="36"/>
  <c r="M54" i="35"/>
  <c r="M93" i="35"/>
  <c r="M41" i="37"/>
  <c r="M26" i="36"/>
  <c r="M43" i="36"/>
  <c r="M51" i="37"/>
  <c r="M95" i="36"/>
  <c r="M23" i="37"/>
  <c r="M27" i="36"/>
  <c r="M16" i="35"/>
  <c r="M47" i="35"/>
  <c r="M71" i="35"/>
  <c r="M70" i="36"/>
  <c r="R95" i="37"/>
  <c r="M79" i="36"/>
  <c r="M108" i="37"/>
  <c r="M67" i="36"/>
  <c r="L55" i="34"/>
  <c r="R55" i="34" s="1"/>
  <c r="M40" i="36"/>
  <c r="M80" i="36"/>
  <c r="M37" i="36"/>
  <c r="M59" i="37"/>
  <c r="M99" i="37"/>
  <c r="L110" i="37"/>
  <c r="M82" i="37"/>
  <c r="M107" i="37"/>
  <c r="R59" i="36"/>
  <c r="J56" i="34"/>
  <c r="M83" i="36"/>
  <c r="J17" i="34"/>
  <c r="M40" i="35"/>
  <c r="M60" i="35"/>
  <c r="M65" i="36"/>
  <c r="M46" i="37"/>
  <c r="K17" i="34"/>
  <c r="M76" i="36"/>
  <c r="M20" i="35"/>
  <c r="M9" i="35"/>
  <c r="M96" i="35"/>
  <c r="M45" i="35"/>
  <c r="M47" i="36"/>
  <c r="K40" i="34"/>
  <c r="M33" i="35"/>
  <c r="M95" i="35"/>
  <c r="M55" i="36"/>
  <c r="M57" i="35"/>
  <c r="M63" i="37"/>
  <c r="M43" i="37"/>
  <c r="M86" i="36"/>
  <c r="M36" i="35"/>
  <c r="M108" i="36"/>
  <c r="M25" i="36"/>
  <c r="J110" i="37"/>
  <c r="L41" i="34"/>
  <c r="R41" i="34" s="1"/>
  <c r="M97" i="35"/>
  <c r="M18" i="35"/>
  <c r="M33" i="36"/>
  <c r="M105" i="36"/>
  <c r="M61" i="36"/>
  <c r="M100" i="36"/>
  <c r="M17" i="37"/>
  <c r="M38" i="37"/>
  <c r="L8" i="34"/>
  <c r="L71" i="34"/>
  <c r="R71" i="34" s="1"/>
  <c r="M49" i="35"/>
  <c r="M19" i="37"/>
  <c r="M77" i="35"/>
  <c r="I37" i="34"/>
  <c r="K42" i="34"/>
  <c r="R98" i="36"/>
  <c r="M86" i="37"/>
  <c r="M12" i="36"/>
  <c r="M51" i="35"/>
  <c r="M17" i="35"/>
  <c r="M105" i="35"/>
  <c r="M75" i="35"/>
  <c r="M50" i="36"/>
  <c r="M52" i="35"/>
  <c r="M39" i="37"/>
  <c r="I19" i="38"/>
  <c r="C20" i="38" s="1"/>
  <c r="K72" i="34"/>
  <c r="M82" i="35"/>
  <c r="M66" i="36"/>
  <c r="R106" i="36"/>
  <c r="M50" i="37"/>
  <c r="M104" i="36"/>
  <c r="J41" i="34"/>
  <c r="L58" i="34"/>
  <c r="R58" i="34" s="1"/>
  <c r="K97" i="34"/>
  <c r="M43" i="35"/>
  <c r="M76" i="35"/>
  <c r="R100" i="37"/>
  <c r="M100" i="37"/>
  <c r="R34" i="37"/>
  <c r="M14" i="37"/>
  <c r="R82" i="37"/>
  <c r="J103" i="34"/>
  <c r="R93" i="37"/>
  <c r="M93" i="37"/>
  <c r="R28" i="37"/>
  <c r="R65" i="37"/>
  <c r="R82" i="34"/>
  <c r="K103" i="34"/>
  <c r="R105" i="37"/>
  <c r="M105" i="37"/>
  <c r="R63" i="37"/>
  <c r="R77" i="37"/>
  <c r="R51" i="35"/>
  <c r="J59" i="34"/>
  <c r="J98" i="34"/>
  <c r="M85" i="37"/>
  <c r="R85" i="37"/>
  <c r="M81" i="37"/>
  <c r="J42" i="34"/>
  <c r="J71" i="34"/>
  <c r="M22" i="36"/>
  <c r="R87" i="37"/>
  <c r="M56" i="37"/>
  <c r="R56" i="37"/>
  <c r="M33" i="37"/>
  <c r="M68" i="37"/>
  <c r="R68" i="37"/>
  <c r="R40" i="37"/>
  <c r="M40" i="37"/>
  <c r="M104" i="35"/>
  <c r="R83" i="37"/>
  <c r="R21" i="37"/>
  <c r="M21" i="37"/>
  <c r="R97" i="37"/>
  <c r="M97" i="37"/>
  <c r="R42" i="37"/>
  <c r="R72" i="37"/>
  <c r="J21" i="34"/>
  <c r="J60" i="34"/>
  <c r="L88" i="34"/>
  <c r="R88" i="34" s="1"/>
  <c r="K21" i="34"/>
  <c r="J27" i="34"/>
  <c r="R43" i="34"/>
  <c r="K60" i="34"/>
  <c r="J66" i="34"/>
  <c r="L83" i="34"/>
  <c r="M8" i="36"/>
  <c r="R71" i="37"/>
  <c r="M17" i="36"/>
  <c r="M32" i="37"/>
  <c r="R88" i="37"/>
  <c r="M88" i="37"/>
  <c r="K11" i="34"/>
  <c r="J43" i="34"/>
  <c r="J49" i="34"/>
  <c r="M23" i="35"/>
  <c r="R74" i="37"/>
  <c r="M76" i="37"/>
  <c r="M41" i="35"/>
  <c r="R59" i="37"/>
  <c r="R49" i="37"/>
  <c r="M49" i="37"/>
  <c r="R18" i="37"/>
  <c r="M18" i="37"/>
  <c r="M69" i="37"/>
  <c r="R11" i="37"/>
  <c r="M72" i="36"/>
  <c r="M44" i="37"/>
  <c r="R29" i="37"/>
  <c r="R55" i="37"/>
  <c r="R12" i="36"/>
  <c r="R12" i="37"/>
  <c r="J12" i="34"/>
  <c r="K28" i="34"/>
  <c r="J50" i="34"/>
  <c r="M102" i="36"/>
  <c r="M49" i="36"/>
  <c r="R64" i="37"/>
  <c r="M64" i="37"/>
  <c r="K84" i="34"/>
  <c r="M39" i="35"/>
  <c r="R26" i="37"/>
  <c r="M26" i="37"/>
  <c r="R46" i="37"/>
  <c r="R91" i="36"/>
  <c r="R91" i="37"/>
  <c r="R103" i="36"/>
  <c r="R103" i="37"/>
  <c r="R34" i="34"/>
  <c r="J79" i="34"/>
  <c r="M64" i="35"/>
  <c r="M13" i="37"/>
  <c r="R13" i="37"/>
  <c r="R15" i="37"/>
  <c r="M15" i="37"/>
  <c r="R57" i="37"/>
  <c r="M57" i="37"/>
  <c r="M52" i="37"/>
  <c r="M45" i="37"/>
  <c r="R67" i="37"/>
  <c r="J90" i="34"/>
  <c r="J106" i="34"/>
  <c r="M19" i="36"/>
  <c r="M18" i="36"/>
  <c r="R38" i="37"/>
  <c r="M9" i="37"/>
  <c r="R89" i="37"/>
  <c r="R54" i="35"/>
  <c r="R54" i="37"/>
  <c r="R19" i="36"/>
  <c r="R19" i="37"/>
  <c r="L18" i="34"/>
  <c r="R18" i="34" s="1"/>
  <c r="K90" i="34"/>
  <c r="M69" i="35"/>
  <c r="R23" i="37"/>
  <c r="M37" i="37"/>
  <c r="M80" i="37"/>
  <c r="R80" i="37"/>
  <c r="R96" i="35"/>
  <c r="R96" i="37"/>
  <c r="R31" i="36"/>
  <c r="R31" i="37"/>
  <c r="J85" i="34"/>
  <c r="K96" i="34"/>
  <c r="M93" i="36"/>
  <c r="R29" i="36"/>
  <c r="M25" i="37"/>
  <c r="R25" i="37"/>
  <c r="R43" i="35"/>
  <c r="R43" i="37"/>
  <c r="R27" i="37"/>
  <c r="M104" i="37"/>
  <c r="R104" i="37"/>
  <c r="R41" i="37"/>
  <c r="M92" i="37"/>
  <c r="R92" i="37"/>
  <c r="R108" i="37"/>
  <c r="R79" i="37"/>
  <c r="M108" i="35"/>
  <c r="J110" i="36"/>
  <c r="R30" i="37"/>
  <c r="M30" i="37"/>
  <c r="R36" i="37"/>
  <c r="J19" i="34"/>
  <c r="J30" i="34"/>
  <c r="J86" i="34"/>
  <c r="M66" i="35"/>
  <c r="M85" i="35"/>
  <c r="M53" i="35"/>
  <c r="M21" i="35"/>
  <c r="M24" i="36"/>
  <c r="R48" i="37"/>
  <c r="R82" i="36"/>
  <c r="M82" i="36"/>
  <c r="R26" i="36"/>
  <c r="J36" i="34"/>
  <c r="J55" i="34"/>
  <c r="J101" i="34"/>
  <c r="R58" i="36"/>
  <c r="M58" i="36"/>
  <c r="I17" i="34"/>
  <c r="I41" i="34"/>
  <c r="I66" i="34"/>
  <c r="J91" i="34"/>
  <c r="K106" i="34"/>
  <c r="R108" i="35"/>
  <c r="R34" i="36"/>
  <c r="M34" i="36"/>
  <c r="R96" i="36"/>
  <c r="R56" i="36"/>
  <c r="R89" i="36"/>
  <c r="R48" i="36"/>
  <c r="R46" i="36"/>
  <c r="M46" i="36"/>
  <c r="R18" i="35"/>
  <c r="R18" i="36"/>
  <c r="J61" i="34"/>
  <c r="J72" i="34"/>
  <c r="M72" i="34" s="1"/>
  <c r="J83" i="34"/>
  <c r="J102" i="34"/>
  <c r="M102" i="34" s="1"/>
  <c r="L110" i="35"/>
  <c r="O111" i="35" s="1"/>
  <c r="O113" i="35" s="1"/>
  <c r="O114" i="35" s="1"/>
  <c r="O116" i="35" s="1"/>
  <c r="O123" i="35" s="1"/>
  <c r="R95" i="36"/>
  <c r="R83" i="36"/>
  <c r="R97" i="35"/>
  <c r="R97" i="36"/>
  <c r="I27" i="34"/>
  <c r="J78" i="34"/>
  <c r="R15" i="36"/>
  <c r="M15" i="36"/>
  <c r="R54" i="36"/>
  <c r="R13" i="36"/>
  <c r="R61" i="35"/>
  <c r="R61" i="36"/>
  <c r="K22" i="34"/>
  <c r="K37" i="34"/>
  <c r="J46" i="34"/>
  <c r="J51" i="34"/>
  <c r="J67" i="34"/>
  <c r="I78" i="34"/>
  <c r="J107" i="34"/>
  <c r="M44" i="35"/>
  <c r="R21" i="35"/>
  <c r="R28" i="36"/>
  <c r="R68" i="36"/>
  <c r="R73" i="35"/>
  <c r="R73" i="36"/>
  <c r="J13" i="34"/>
  <c r="I42" i="34"/>
  <c r="K46" i="34"/>
  <c r="J88" i="34"/>
  <c r="M81" i="35"/>
  <c r="R25" i="36"/>
  <c r="R87" i="36"/>
  <c r="R105" i="36"/>
  <c r="R49" i="35"/>
  <c r="R49" i="36"/>
  <c r="J8" i="34"/>
  <c r="K18" i="34"/>
  <c r="J33" i="34"/>
  <c r="J73" i="34"/>
  <c r="R23" i="36"/>
  <c r="R88" i="36"/>
  <c r="M83" i="35"/>
  <c r="R85" i="35"/>
  <c r="R85" i="36"/>
  <c r="J84" i="34"/>
  <c r="M102" i="35"/>
  <c r="R80" i="36"/>
  <c r="R51" i="36"/>
  <c r="R57" i="32"/>
  <c r="R77" i="36"/>
  <c r="R57" i="36"/>
  <c r="R93" i="36"/>
  <c r="R15" i="34"/>
  <c r="I43" i="34"/>
  <c r="L47" i="34"/>
  <c r="K94" i="34"/>
  <c r="R64" i="36"/>
  <c r="R72" i="36"/>
  <c r="L89" i="34"/>
  <c r="M84" i="35"/>
  <c r="R40" i="36"/>
  <c r="R43" i="36"/>
  <c r="J24" i="34"/>
  <c r="J29" i="34"/>
  <c r="K43" i="34"/>
  <c r="L64" i="34"/>
  <c r="R64" i="34" s="1"/>
  <c r="I85" i="34"/>
  <c r="R41" i="36"/>
  <c r="R71" i="36"/>
  <c r="R70" i="34"/>
  <c r="M68" i="35"/>
  <c r="L110" i="36"/>
  <c r="O111" i="36" s="1"/>
  <c r="R36" i="36"/>
  <c r="J35" i="34"/>
  <c r="R40" i="34"/>
  <c r="J48" i="34"/>
  <c r="J54" i="34"/>
  <c r="L59" i="34"/>
  <c r="K85" i="34"/>
  <c r="K100" i="34"/>
  <c r="K54" i="34"/>
  <c r="J95" i="34"/>
  <c r="M26" i="35"/>
  <c r="R104" i="36"/>
  <c r="M35" i="35"/>
  <c r="R65" i="36"/>
  <c r="R30" i="36"/>
  <c r="J11" i="34"/>
  <c r="L76" i="34"/>
  <c r="R76" i="34" s="1"/>
  <c r="M90" i="35"/>
  <c r="M107" i="35"/>
  <c r="M94" i="35"/>
  <c r="M87" i="35"/>
  <c r="R79" i="34"/>
  <c r="R73" i="34"/>
  <c r="R67" i="34"/>
  <c r="R91" i="34"/>
  <c r="R49" i="34"/>
  <c r="R97" i="34"/>
  <c r="R55" i="35"/>
  <c r="M55" i="35"/>
  <c r="J53" i="34"/>
  <c r="M98" i="35"/>
  <c r="R98" i="35"/>
  <c r="J110" i="35"/>
  <c r="I49" i="34"/>
  <c r="J96" i="34"/>
  <c r="M103" i="35"/>
  <c r="R103" i="35"/>
  <c r="L10" i="34"/>
  <c r="J57" i="34"/>
  <c r="L14" i="34"/>
  <c r="I30" i="34"/>
  <c r="J34" i="34"/>
  <c r="K49" i="34"/>
  <c r="I61" i="34"/>
  <c r="I73" i="34"/>
  <c r="M42" i="35"/>
  <c r="R42" i="35"/>
  <c r="M74" i="35"/>
  <c r="R74" i="35"/>
  <c r="L53" i="34"/>
  <c r="J26" i="34"/>
  <c r="K34" i="34"/>
  <c r="L65" i="34"/>
  <c r="L77" i="34"/>
  <c r="J89" i="34"/>
  <c r="J104" i="34"/>
  <c r="R57" i="35"/>
  <c r="R79" i="35"/>
  <c r="M79" i="35"/>
  <c r="M8" i="35"/>
  <c r="J65" i="34"/>
  <c r="J77" i="34"/>
  <c r="J92" i="34"/>
  <c r="K30" i="34"/>
  <c r="K61" i="34"/>
  <c r="K73" i="34"/>
  <c r="R92" i="35"/>
  <c r="M92" i="35"/>
  <c r="J10" i="34"/>
  <c r="J68" i="34"/>
  <c r="J80" i="34"/>
  <c r="M86" i="35"/>
  <c r="I11" i="34"/>
  <c r="J38" i="34"/>
  <c r="R46" i="34"/>
  <c r="I54" i="34"/>
  <c r="M24" i="35"/>
  <c r="J15" i="34"/>
  <c r="J97" i="34"/>
  <c r="L101" i="34"/>
  <c r="M19" i="35"/>
  <c r="R19" i="35"/>
  <c r="K15" i="34"/>
  <c r="J70" i="34"/>
  <c r="J82" i="34"/>
  <c r="R91" i="35"/>
  <c r="M91" i="35"/>
  <c r="M50" i="35"/>
  <c r="I35" i="34"/>
  <c r="K70" i="34"/>
  <c r="K82" i="34"/>
  <c r="R63" i="35"/>
  <c r="M63" i="35"/>
  <c r="M14" i="35"/>
  <c r="R58" i="35"/>
  <c r="M58" i="35"/>
  <c r="J58" i="34"/>
  <c r="I101" i="34"/>
  <c r="J23" i="34"/>
  <c r="K27" i="34"/>
  <c r="L35" i="34"/>
  <c r="J47" i="34"/>
  <c r="J62" i="34"/>
  <c r="K66" i="34"/>
  <c r="J74" i="34"/>
  <c r="K78" i="34"/>
  <c r="J94" i="34"/>
  <c r="R94" i="34"/>
  <c r="R106" i="35"/>
  <c r="M106" i="35"/>
  <c r="M22" i="35"/>
  <c r="I12" i="34"/>
  <c r="J16" i="34"/>
  <c r="I55" i="34"/>
  <c r="I59" i="34"/>
  <c r="I53" i="34"/>
  <c r="M37" i="35"/>
  <c r="L16" i="34"/>
  <c r="J40" i="34"/>
  <c r="I71" i="34"/>
  <c r="I83" i="34"/>
  <c r="R59" i="35"/>
  <c r="M59" i="35"/>
  <c r="R100" i="35"/>
  <c r="M100" i="35"/>
  <c r="M38" i="35"/>
  <c r="R38" i="35"/>
  <c r="R67" i="35"/>
  <c r="M67" i="35"/>
  <c r="J9" i="34"/>
  <c r="K24" i="34"/>
  <c r="K36" i="34"/>
  <c r="I48" i="34"/>
  <c r="J52" i="34"/>
  <c r="K67" i="34"/>
  <c r="K79" i="34"/>
  <c r="I91" i="34"/>
  <c r="I95" i="34"/>
  <c r="R12" i="35"/>
  <c r="M12" i="35"/>
  <c r="J45" i="34"/>
  <c r="J100" i="34"/>
  <c r="K9" i="34"/>
  <c r="K52" i="34"/>
  <c r="L95" i="34"/>
  <c r="R95" i="34" s="1"/>
  <c r="R27" i="35"/>
  <c r="M27" i="35"/>
  <c r="J44" i="34"/>
  <c r="K48" i="34"/>
  <c r="I60" i="34"/>
  <c r="J64" i="34"/>
  <c r="J76" i="34"/>
  <c r="K91" i="34"/>
  <c r="I103" i="34"/>
  <c r="L107" i="34"/>
  <c r="R107" i="34" s="1"/>
  <c r="M62" i="35"/>
  <c r="M11" i="35"/>
  <c r="R11" i="35"/>
  <c r="K33" i="34"/>
  <c r="R31" i="35"/>
  <c r="M31" i="35"/>
  <c r="O5" i="32"/>
  <c r="O122" i="32" s="1"/>
  <c r="J57" i="32"/>
  <c r="K57" i="32"/>
  <c r="I57" i="32"/>
  <c r="R25" i="34"/>
  <c r="R62" i="34"/>
  <c r="R19" i="34"/>
  <c r="R102" i="34"/>
  <c r="R63" i="34"/>
  <c r="R26" i="34"/>
  <c r="R42" i="34"/>
  <c r="R81" i="34"/>
  <c r="R104" i="34"/>
  <c r="R48" i="34"/>
  <c r="R87" i="34"/>
  <c r="R51" i="34"/>
  <c r="R86" i="34"/>
  <c r="R57" i="34"/>
  <c r="R92" i="34"/>
  <c r="R36" i="34"/>
  <c r="R11" i="34"/>
  <c r="R54" i="34"/>
  <c r="R38" i="34"/>
  <c r="R60" i="34"/>
  <c r="R99" i="34"/>
  <c r="R27" i="34"/>
  <c r="R66" i="34"/>
  <c r="R78" i="34"/>
  <c r="R105" i="34"/>
  <c r="R21" i="34"/>
  <c r="R72" i="34"/>
  <c r="R13" i="34"/>
  <c r="R31" i="34"/>
  <c r="R56" i="34"/>
  <c r="R90" i="34"/>
  <c r="R84" i="34"/>
  <c r="R96" i="34"/>
  <c r="I8" i="34"/>
  <c r="I45" i="34"/>
  <c r="I51" i="34"/>
  <c r="I57" i="34"/>
  <c r="J22" i="34"/>
  <c r="L23" i="34"/>
  <c r="J28" i="34"/>
  <c r="L29" i="34"/>
  <c r="R30" i="34"/>
  <c r="J14" i="34"/>
  <c r="I26" i="34"/>
  <c r="J63" i="34"/>
  <c r="J69" i="34"/>
  <c r="J75" i="34"/>
  <c r="J99" i="34"/>
  <c r="I13" i="34"/>
  <c r="I19" i="34"/>
  <c r="J20" i="34"/>
  <c r="R28" i="34"/>
  <c r="J32" i="34"/>
  <c r="I38" i="34"/>
  <c r="K39" i="34"/>
  <c r="I44" i="34"/>
  <c r="K45" i="34"/>
  <c r="I50" i="34"/>
  <c r="K51" i="34"/>
  <c r="I56" i="34"/>
  <c r="K57" i="34"/>
  <c r="I62" i="34"/>
  <c r="K63" i="34"/>
  <c r="I68" i="34"/>
  <c r="K69" i="34"/>
  <c r="I74" i="34"/>
  <c r="K75" i="34"/>
  <c r="I80" i="34"/>
  <c r="K81" i="34"/>
  <c r="I86" i="34"/>
  <c r="K87" i="34"/>
  <c r="I92" i="34"/>
  <c r="K93" i="34"/>
  <c r="I98" i="34"/>
  <c r="K99" i="34"/>
  <c r="I104" i="34"/>
  <c r="K105" i="34"/>
  <c r="I93" i="34"/>
  <c r="J81" i="34"/>
  <c r="J87" i="34"/>
  <c r="J105" i="34"/>
  <c r="K20" i="34"/>
  <c r="K26" i="34"/>
  <c r="K32" i="34"/>
  <c r="J39" i="34"/>
  <c r="K13" i="34"/>
  <c r="K19" i="34"/>
  <c r="J25" i="34"/>
  <c r="J31" i="34"/>
  <c r="K38" i="34"/>
  <c r="K44" i="34"/>
  <c r="K50" i="34"/>
  <c r="K56" i="34"/>
  <c r="K62" i="34"/>
  <c r="K68" i="34"/>
  <c r="K74" i="34"/>
  <c r="K80" i="34"/>
  <c r="K86" i="34"/>
  <c r="K92" i="34"/>
  <c r="K98" i="34"/>
  <c r="K104" i="34"/>
  <c r="R51" i="32"/>
  <c r="K25" i="34"/>
  <c r="K31" i="34"/>
  <c r="I72" i="34"/>
  <c r="I107" i="34"/>
  <c r="L102" i="32"/>
  <c r="J50" i="31"/>
  <c r="J58" i="32"/>
  <c r="R87" i="32"/>
  <c r="K18" i="32"/>
  <c r="J67" i="32"/>
  <c r="J37" i="32"/>
  <c r="J52" i="32"/>
  <c r="J14" i="32"/>
  <c r="L52" i="32"/>
  <c r="K89" i="32"/>
  <c r="J56" i="32"/>
  <c r="K43" i="31"/>
  <c r="J67" i="31"/>
  <c r="L67" i="32"/>
  <c r="R67" i="32" s="1"/>
  <c r="J88" i="32"/>
  <c r="K67" i="31"/>
  <c r="J23" i="32"/>
  <c r="R18" i="32"/>
  <c r="R38" i="32"/>
  <c r="J44" i="32"/>
  <c r="R98" i="32"/>
  <c r="K16" i="32"/>
  <c r="K24" i="32"/>
  <c r="L72" i="32"/>
  <c r="R72" i="32" s="1"/>
  <c r="J81" i="31"/>
  <c r="J87" i="31"/>
  <c r="J99" i="31"/>
  <c r="L10" i="32"/>
  <c r="J18" i="32"/>
  <c r="I23" i="32"/>
  <c r="J34" i="32"/>
  <c r="L56" i="32"/>
  <c r="R56" i="32" s="1"/>
  <c r="J102" i="32"/>
  <c r="R105" i="32"/>
  <c r="R108" i="32"/>
  <c r="K11" i="31"/>
  <c r="J46" i="31"/>
  <c r="R68" i="32"/>
  <c r="L40" i="32"/>
  <c r="R40" i="32" s="1"/>
  <c r="R54" i="32"/>
  <c r="J66" i="32"/>
  <c r="J80" i="32"/>
  <c r="J108" i="32"/>
  <c r="J46" i="32"/>
  <c r="I80" i="32"/>
  <c r="J86" i="32"/>
  <c r="J89" i="32"/>
  <c r="J21" i="31"/>
  <c r="J27" i="31"/>
  <c r="L59" i="31"/>
  <c r="J55" i="32"/>
  <c r="J87" i="32"/>
  <c r="J15" i="32"/>
  <c r="R25" i="32"/>
  <c r="L47" i="32"/>
  <c r="J50" i="32"/>
  <c r="L70" i="32"/>
  <c r="L101" i="32"/>
  <c r="L15" i="32"/>
  <c r="R15" i="32" s="1"/>
  <c r="K50" i="32"/>
  <c r="J54" i="31"/>
  <c r="J28" i="32"/>
  <c r="L62" i="32"/>
  <c r="J76" i="32"/>
  <c r="K107" i="32"/>
  <c r="K45" i="32"/>
  <c r="L34" i="32"/>
  <c r="R34" i="32" s="1"/>
  <c r="J42" i="32"/>
  <c r="J47" i="32"/>
  <c r="J62" i="32"/>
  <c r="J75" i="32"/>
  <c r="L80" i="32"/>
  <c r="R80" i="32" s="1"/>
  <c r="J83" i="32"/>
  <c r="K88" i="32"/>
  <c r="R100" i="32"/>
  <c r="J10" i="32"/>
  <c r="L42" i="32"/>
  <c r="R42" i="32" s="1"/>
  <c r="J45" i="32"/>
  <c r="J54" i="32"/>
  <c r="L88" i="32"/>
  <c r="J19" i="31"/>
  <c r="I27" i="31"/>
  <c r="L35" i="31"/>
  <c r="K46" i="31"/>
  <c r="K51" i="31"/>
  <c r="L65" i="31"/>
  <c r="K8" i="32"/>
  <c r="R23" i="32"/>
  <c r="J30" i="32"/>
  <c r="I50" i="32"/>
  <c r="I52" i="32"/>
  <c r="J73" i="32"/>
  <c r="K105" i="32"/>
  <c r="K19" i="31"/>
  <c r="J33" i="31"/>
  <c r="L106" i="31"/>
  <c r="R28" i="32"/>
  <c r="R43" i="32"/>
  <c r="L33" i="31"/>
  <c r="K49" i="31"/>
  <c r="L74" i="31"/>
  <c r="J16" i="32"/>
  <c r="R48" i="32"/>
  <c r="R58" i="32"/>
  <c r="R63" i="32"/>
  <c r="R71" i="32"/>
  <c r="R79" i="32"/>
  <c r="K91" i="32"/>
  <c r="R31" i="32"/>
  <c r="R46" i="32"/>
  <c r="I55" i="32"/>
  <c r="J71" i="32"/>
  <c r="R74" i="32"/>
  <c r="J94" i="32"/>
  <c r="J31" i="32"/>
  <c r="R41" i="32"/>
  <c r="I66" i="32"/>
  <c r="R82" i="32"/>
  <c r="R89" i="32"/>
  <c r="K94" i="32"/>
  <c r="R106" i="32"/>
  <c r="J47" i="31"/>
  <c r="L21" i="32"/>
  <c r="R21" i="32" s="1"/>
  <c r="I31" i="32"/>
  <c r="J41" i="32"/>
  <c r="J53" i="32"/>
  <c r="L55" i="32"/>
  <c r="J69" i="32"/>
  <c r="R92" i="32"/>
  <c r="R104" i="32"/>
  <c r="R12" i="32"/>
  <c r="R19" i="32"/>
  <c r="K26" i="32"/>
  <c r="R49" i="32"/>
  <c r="L53" i="32"/>
  <c r="L85" i="32"/>
  <c r="R85" i="32" s="1"/>
  <c r="K99" i="32"/>
  <c r="J18" i="31"/>
  <c r="L50" i="31"/>
  <c r="J64" i="31"/>
  <c r="K99" i="31"/>
  <c r="L36" i="32"/>
  <c r="R36" i="32" s="1"/>
  <c r="J39" i="32"/>
  <c r="J49" i="32"/>
  <c r="J51" i="32"/>
  <c r="J72" i="32"/>
  <c r="J97" i="32"/>
  <c r="K12" i="32"/>
  <c r="L29" i="32"/>
  <c r="R29" i="32" s="1"/>
  <c r="R95" i="32"/>
  <c r="L97" i="32"/>
  <c r="R97" i="32" s="1"/>
  <c r="R83" i="32"/>
  <c r="R91" i="32"/>
  <c r="R96" i="32"/>
  <c r="R103" i="32"/>
  <c r="R73" i="32"/>
  <c r="R26" i="32"/>
  <c r="I46" i="33"/>
  <c r="I16" i="33" s="1"/>
  <c r="I21" i="33" s="1"/>
  <c r="R59" i="32"/>
  <c r="R64" i="32"/>
  <c r="K102" i="31"/>
  <c r="J59" i="32"/>
  <c r="L61" i="32"/>
  <c r="R61" i="32" s="1"/>
  <c r="L65" i="32"/>
  <c r="R65" i="32" s="1"/>
  <c r="L75" i="32"/>
  <c r="J96" i="32"/>
  <c r="J104" i="32"/>
  <c r="K13" i="32"/>
  <c r="K59" i="32"/>
  <c r="K96" i="32"/>
  <c r="K104" i="32"/>
  <c r="K88" i="31"/>
  <c r="I47" i="31"/>
  <c r="J70" i="31"/>
  <c r="L100" i="31"/>
  <c r="J105" i="31"/>
  <c r="J25" i="32"/>
  <c r="J27" i="32"/>
  <c r="I42" i="32"/>
  <c r="I44" i="32"/>
  <c r="K48" i="32"/>
  <c r="I72" i="32"/>
  <c r="J78" i="32"/>
  <c r="K86" i="32"/>
  <c r="R13" i="32"/>
  <c r="K84" i="31"/>
  <c r="J12" i="32"/>
  <c r="J21" i="32"/>
  <c r="J36" i="32"/>
  <c r="J38" i="32"/>
  <c r="J40" i="32"/>
  <c r="L44" i="32"/>
  <c r="J70" i="32"/>
  <c r="K78" i="32"/>
  <c r="J84" i="32"/>
  <c r="L47" i="31"/>
  <c r="J32" i="32"/>
  <c r="J64" i="32"/>
  <c r="K32" i="32"/>
  <c r="K64" i="32"/>
  <c r="J30" i="31"/>
  <c r="L68" i="31"/>
  <c r="J71" i="31"/>
  <c r="J8" i="32"/>
  <c r="I58" i="32"/>
  <c r="J95" i="32"/>
  <c r="J105" i="32"/>
  <c r="J107" i="32"/>
  <c r="J17" i="31"/>
  <c r="J88" i="31"/>
  <c r="J13" i="32"/>
  <c r="J24" i="32"/>
  <c r="J26" i="32"/>
  <c r="I39" i="32"/>
  <c r="J77" i="32"/>
  <c r="J79" i="32"/>
  <c r="I83" i="32"/>
  <c r="J91" i="32"/>
  <c r="L93" i="32"/>
  <c r="R93" i="32" s="1"/>
  <c r="J99" i="32"/>
  <c r="K81" i="32"/>
  <c r="K56" i="31"/>
  <c r="K64" i="31"/>
  <c r="L83" i="31"/>
  <c r="J33" i="32"/>
  <c r="K37" i="32"/>
  <c r="K39" i="32"/>
  <c r="J61" i="32"/>
  <c r="J63" i="32"/>
  <c r="J65" i="32"/>
  <c r="I67" i="32"/>
  <c r="I69" i="32"/>
  <c r="K73" i="32"/>
  <c r="L77" i="32"/>
  <c r="K83" i="32"/>
  <c r="J51" i="31"/>
  <c r="K72" i="31"/>
  <c r="K91" i="31"/>
  <c r="J97" i="31"/>
  <c r="J102" i="31"/>
  <c r="J20" i="32"/>
  <c r="J29" i="32"/>
  <c r="L69" i="32"/>
  <c r="J103" i="31"/>
  <c r="I73" i="32"/>
  <c r="J48" i="32"/>
  <c r="J19" i="32"/>
  <c r="L80" i="31"/>
  <c r="I51" i="32"/>
  <c r="I76" i="32"/>
  <c r="I108" i="32"/>
  <c r="I71" i="31"/>
  <c r="J104" i="31"/>
  <c r="I14" i="32"/>
  <c r="J35" i="32"/>
  <c r="J60" i="32"/>
  <c r="J68" i="32"/>
  <c r="J100" i="32"/>
  <c r="J52" i="31"/>
  <c r="K62" i="31"/>
  <c r="J90" i="31"/>
  <c r="K104" i="31"/>
  <c r="L27" i="32"/>
  <c r="I30" i="32"/>
  <c r="K35" i="32"/>
  <c r="K43" i="32"/>
  <c r="K51" i="32"/>
  <c r="K60" i="32"/>
  <c r="K68" i="32"/>
  <c r="K76" i="32"/>
  <c r="K84" i="32"/>
  <c r="K92" i="32"/>
  <c r="K100" i="32"/>
  <c r="K108" i="32"/>
  <c r="L10" i="31"/>
  <c r="J15" i="31"/>
  <c r="J20" i="31"/>
  <c r="I30" i="31"/>
  <c r="J34" i="31"/>
  <c r="L44" i="31"/>
  <c r="K48" i="31"/>
  <c r="K71" i="31"/>
  <c r="K90" i="31"/>
  <c r="K14" i="32"/>
  <c r="J22" i="32"/>
  <c r="I38" i="32"/>
  <c r="I46" i="32"/>
  <c r="I54" i="32"/>
  <c r="I63" i="32"/>
  <c r="I71" i="32"/>
  <c r="I79" i="32"/>
  <c r="I87" i="32"/>
  <c r="I95" i="32"/>
  <c r="J103" i="32"/>
  <c r="L20" i="31"/>
  <c r="K30" i="31"/>
  <c r="J40" i="31"/>
  <c r="J58" i="31"/>
  <c r="J86" i="31"/>
  <c r="J9" i="32"/>
  <c r="J17" i="32"/>
  <c r="L22" i="32"/>
  <c r="I25" i="32"/>
  <c r="L30" i="32"/>
  <c r="I33" i="32"/>
  <c r="K38" i="32"/>
  <c r="K46" i="32"/>
  <c r="K54" i="32"/>
  <c r="K63" i="32"/>
  <c r="K71" i="32"/>
  <c r="K79" i="32"/>
  <c r="K87" i="32"/>
  <c r="K95" i="32"/>
  <c r="K103" i="32"/>
  <c r="J89" i="31"/>
  <c r="I56" i="32"/>
  <c r="I65" i="32"/>
  <c r="I89" i="32"/>
  <c r="L75" i="31"/>
  <c r="K40" i="31"/>
  <c r="J76" i="31"/>
  <c r="K86" i="31"/>
  <c r="J96" i="31"/>
  <c r="K9" i="32"/>
  <c r="K17" i="32"/>
  <c r="I41" i="32"/>
  <c r="I49" i="32"/>
  <c r="J80" i="31"/>
  <c r="I27" i="32"/>
  <c r="J95" i="31"/>
  <c r="J35" i="31"/>
  <c r="J63" i="31"/>
  <c r="K96" i="31"/>
  <c r="I12" i="32"/>
  <c r="K25" i="32"/>
  <c r="K33" i="32"/>
  <c r="J74" i="32"/>
  <c r="J82" i="32"/>
  <c r="J90" i="32"/>
  <c r="J98" i="32"/>
  <c r="J106" i="32"/>
  <c r="I84" i="32"/>
  <c r="J10" i="31"/>
  <c r="J44" i="31"/>
  <c r="L11" i="32"/>
  <c r="J11" i="31"/>
  <c r="J49" i="31"/>
  <c r="J72" i="31"/>
  <c r="J91" i="31"/>
  <c r="K41" i="32"/>
  <c r="K49" i="32"/>
  <c r="K58" i="32"/>
  <c r="K66" i="32"/>
  <c r="K74" i="32"/>
  <c r="K82" i="32"/>
  <c r="K90" i="32"/>
  <c r="K98" i="32"/>
  <c r="K106" i="32"/>
  <c r="I40" i="32"/>
  <c r="J11" i="32"/>
  <c r="J43" i="32"/>
  <c r="J92" i="32"/>
  <c r="J48" i="31"/>
  <c r="K21" i="31"/>
  <c r="J31" i="31"/>
  <c r="J59" i="31"/>
  <c r="K105" i="31"/>
  <c r="I15" i="32"/>
  <c r="K20" i="32"/>
  <c r="K28" i="32"/>
  <c r="J85" i="32"/>
  <c r="J93" i="32"/>
  <c r="J101" i="32"/>
  <c r="K107" i="31"/>
  <c r="J75" i="31"/>
  <c r="K19" i="32"/>
  <c r="J57" i="31"/>
  <c r="J38" i="31"/>
  <c r="I99" i="31"/>
  <c r="J94" i="31"/>
  <c r="K27" i="31"/>
  <c r="J36" i="31"/>
  <c r="I10" i="32"/>
  <c r="I18" i="32"/>
  <c r="K23" i="32"/>
  <c r="K31" i="32"/>
  <c r="J107" i="31"/>
  <c r="J81" i="32"/>
  <c r="J14" i="31"/>
  <c r="J62" i="31"/>
  <c r="I13" i="32"/>
  <c r="J37" i="31"/>
  <c r="I21" i="32"/>
  <c r="I29" i="32"/>
  <c r="J65" i="31"/>
  <c r="J79" i="31"/>
  <c r="J93" i="31"/>
  <c r="I37" i="32"/>
  <c r="I45" i="32"/>
  <c r="I53" i="32"/>
  <c r="I62" i="32"/>
  <c r="I70" i="32"/>
  <c r="I78" i="32"/>
  <c r="I86" i="32"/>
  <c r="I94" i="32"/>
  <c r="I102" i="32"/>
  <c r="J9" i="31"/>
  <c r="J13" i="31"/>
  <c r="J56" i="31"/>
  <c r="J84" i="31"/>
  <c r="I51" i="31"/>
  <c r="L77" i="31"/>
  <c r="K77" i="31"/>
  <c r="L89" i="31"/>
  <c r="I13" i="31"/>
  <c r="J68" i="31"/>
  <c r="J74" i="31"/>
  <c r="L101" i="31"/>
  <c r="K101" i="31"/>
  <c r="J22" i="31"/>
  <c r="K36" i="31"/>
  <c r="L8" i="31"/>
  <c r="K8" i="31"/>
  <c r="K25" i="31"/>
  <c r="L39" i="31"/>
  <c r="L98" i="31"/>
  <c r="K57" i="31"/>
  <c r="J28" i="31"/>
  <c r="I31" i="31"/>
  <c r="J60" i="31"/>
  <c r="K63" i="31"/>
  <c r="J66" i="31"/>
  <c r="J69" i="31"/>
  <c r="I75" i="31"/>
  <c r="J78" i="31"/>
  <c r="I81" i="31"/>
  <c r="I14" i="31"/>
  <c r="I17" i="31"/>
  <c r="K28" i="31"/>
  <c r="I34" i="31"/>
  <c r="K60" i="31"/>
  <c r="K66" i="31"/>
  <c r="I69" i="31"/>
  <c r="K78" i="31"/>
  <c r="I87" i="31"/>
  <c r="K31" i="31"/>
  <c r="L37" i="31"/>
  <c r="K37" i="31"/>
  <c r="K81" i="31"/>
  <c r="L93" i="31"/>
  <c r="K93" i="31"/>
  <c r="J83" i="31"/>
  <c r="K13" i="31"/>
  <c r="I36" i="31"/>
  <c r="J39" i="31"/>
  <c r="J101" i="31"/>
  <c r="J45" i="31"/>
  <c r="I57" i="31"/>
  <c r="I45" i="31"/>
  <c r="J8" i="31"/>
  <c r="J92" i="31"/>
  <c r="K92" i="31"/>
  <c r="L22" i="31"/>
  <c r="I95" i="31"/>
  <c r="J25" i="31"/>
  <c r="I86" i="31"/>
  <c r="I89" i="31"/>
  <c r="J98" i="31"/>
  <c r="L14" i="31"/>
  <c r="K70" i="31"/>
  <c r="J77" i="31"/>
  <c r="K95" i="31"/>
  <c r="I20" i="31"/>
  <c r="J23" i="31"/>
  <c r="I49" i="31"/>
  <c r="J43" i="31"/>
  <c r="I9" i="31"/>
  <c r="J55" i="31"/>
  <c r="K79" i="31"/>
  <c r="J82" i="31"/>
  <c r="I91" i="31"/>
  <c r="I97" i="31"/>
  <c r="I52" i="31"/>
  <c r="I58" i="31"/>
  <c r="I70" i="31"/>
  <c r="K23" i="31"/>
  <c r="K26" i="31"/>
  <c r="K55" i="31"/>
  <c r="I67" i="31"/>
  <c r="J32" i="31"/>
  <c r="I32" i="31"/>
  <c r="K58" i="31"/>
  <c r="J73" i="31"/>
  <c r="I79" i="31"/>
  <c r="L9" i="31"/>
  <c r="J12" i="31"/>
  <c r="J29" i="31"/>
  <c r="L32" i="31"/>
  <c r="L52" i="31"/>
  <c r="K73" i="31"/>
  <c r="I76" i="31"/>
  <c r="L85" i="31"/>
  <c r="K85" i="31"/>
  <c r="I94" i="31"/>
  <c r="K12" i="31"/>
  <c r="I15" i="31"/>
  <c r="I18" i="31"/>
  <c r="K29" i="31"/>
  <c r="I35" i="31"/>
  <c r="I38" i="31"/>
  <c r="J85" i="31"/>
  <c r="K76" i="31"/>
  <c r="K82" i="31"/>
  <c r="I85" i="31"/>
  <c r="K94" i="31"/>
  <c r="I103" i="31"/>
  <c r="L45" i="31"/>
  <c r="K45" i="31"/>
  <c r="I54" i="31"/>
  <c r="I107" i="31"/>
  <c r="J42" i="31"/>
  <c r="L69" i="31"/>
  <c r="K69" i="31"/>
  <c r="K34" i="31"/>
  <c r="K87" i="31"/>
  <c r="L17" i="31"/>
  <c r="I37" i="31"/>
  <c r="J26" i="31"/>
  <c r="K15" i="31"/>
  <c r="K18" i="31"/>
  <c r="K38" i="31"/>
  <c r="J41" i="31"/>
  <c r="K97" i="31"/>
  <c r="L16" i="31"/>
  <c r="K16" i="31"/>
  <c r="I77" i="31"/>
  <c r="I101" i="31"/>
  <c r="K42" i="31"/>
  <c r="K54" i="31"/>
  <c r="J61" i="31"/>
  <c r="J24" i="31"/>
  <c r="I24" i="31"/>
  <c r="K41" i="31"/>
  <c r="I50" i="31"/>
  <c r="J106" i="31"/>
  <c r="J16" i="31"/>
  <c r="I63" i="31"/>
  <c r="I93" i="31"/>
  <c r="L61" i="31"/>
  <c r="K61" i="31"/>
  <c r="I21" i="31"/>
  <c r="I44" i="31"/>
  <c r="L53" i="31"/>
  <c r="K53" i="31"/>
  <c r="J100" i="31"/>
  <c r="K103" i="31"/>
  <c r="L24" i="31"/>
  <c r="J53" i="31"/>
  <c r="I40" i="31"/>
  <c r="I48" i="31"/>
  <c r="I56" i="31"/>
  <c r="I64" i="31"/>
  <c r="I72" i="31"/>
  <c r="I80" i="31"/>
  <c r="I88" i="31"/>
  <c r="I96" i="31"/>
  <c r="I104" i="31"/>
  <c r="J38" i="29"/>
  <c r="J96" i="29"/>
  <c r="J87" i="29"/>
  <c r="L76" i="29"/>
  <c r="J105" i="29"/>
  <c r="J53" i="29"/>
  <c r="L71" i="29"/>
  <c r="K48" i="29"/>
  <c r="L51" i="29"/>
  <c r="J33" i="29"/>
  <c r="J65" i="29"/>
  <c r="L47" i="29"/>
  <c r="I105" i="29"/>
  <c r="J34" i="29"/>
  <c r="J60" i="29"/>
  <c r="J77" i="29"/>
  <c r="J85" i="29"/>
  <c r="L43" i="29"/>
  <c r="J75" i="29"/>
  <c r="I85" i="29"/>
  <c r="L75" i="29"/>
  <c r="J56" i="29"/>
  <c r="J47" i="29"/>
  <c r="J9" i="29"/>
  <c r="J31" i="29"/>
  <c r="J41" i="29"/>
  <c r="K9" i="29"/>
  <c r="K17" i="29"/>
  <c r="I31" i="29"/>
  <c r="J45" i="29"/>
  <c r="L10" i="29"/>
  <c r="J13" i="29"/>
  <c r="L21" i="29"/>
  <c r="K40" i="29"/>
  <c r="L55" i="29"/>
  <c r="K60" i="29"/>
  <c r="J73" i="29"/>
  <c r="J78" i="29"/>
  <c r="K90" i="29"/>
  <c r="J98" i="29"/>
  <c r="J17" i="29"/>
  <c r="J36" i="29"/>
  <c r="K27" i="29"/>
  <c r="J40" i="29"/>
  <c r="K52" i="29"/>
  <c r="K13" i="29"/>
  <c r="J16" i="29"/>
  <c r="L30" i="29"/>
  <c r="K35" i="29"/>
  <c r="K98" i="29"/>
  <c r="J69" i="29"/>
  <c r="L56" i="29"/>
  <c r="J27" i="29"/>
  <c r="L67" i="29"/>
  <c r="J43" i="29"/>
  <c r="J76" i="29"/>
  <c r="K83" i="29"/>
  <c r="J88" i="29"/>
  <c r="J93" i="29"/>
  <c r="J101" i="29"/>
  <c r="J51" i="29"/>
  <c r="J22" i="29"/>
  <c r="K86" i="29"/>
  <c r="K91" i="29"/>
  <c r="J20" i="29"/>
  <c r="L31" i="29"/>
  <c r="L36" i="29"/>
  <c r="J49" i="29"/>
  <c r="K59" i="29"/>
  <c r="L64" i="29"/>
  <c r="J89" i="29"/>
  <c r="K94" i="29"/>
  <c r="J97" i="29"/>
  <c r="K102" i="29"/>
  <c r="J67" i="29"/>
  <c r="K72" i="29"/>
  <c r="J64" i="29"/>
  <c r="J107" i="29"/>
  <c r="K26" i="29"/>
  <c r="J52" i="29"/>
  <c r="K87" i="29"/>
  <c r="J92" i="29"/>
  <c r="J100" i="29"/>
  <c r="I46" i="30"/>
  <c r="I16" i="30" s="1"/>
  <c r="I21" i="30" s="1"/>
  <c r="J12" i="29"/>
  <c r="I78" i="29"/>
  <c r="J80" i="29"/>
  <c r="J90" i="29"/>
  <c r="I101" i="29"/>
  <c r="J103" i="29"/>
  <c r="J39" i="29"/>
  <c r="J63" i="29"/>
  <c r="K80" i="29"/>
  <c r="I17" i="29"/>
  <c r="K39" i="29"/>
  <c r="K63" i="29"/>
  <c r="J86" i="29"/>
  <c r="I97" i="29"/>
  <c r="J99" i="29"/>
  <c r="L14" i="29"/>
  <c r="O5" i="29"/>
  <c r="O121" i="29" s="1"/>
  <c r="J35" i="29"/>
  <c r="J37" i="29"/>
  <c r="J48" i="29"/>
  <c r="J59" i="29"/>
  <c r="J61" i="29"/>
  <c r="J72" i="29"/>
  <c r="J84" i="29"/>
  <c r="K99" i="29"/>
  <c r="J106" i="29"/>
  <c r="J82" i="29"/>
  <c r="I93" i="29"/>
  <c r="J95" i="29"/>
  <c r="J104" i="29"/>
  <c r="K106" i="29"/>
  <c r="I13" i="29"/>
  <c r="I27" i="29"/>
  <c r="J29" i="29"/>
  <c r="J44" i="29"/>
  <c r="J55" i="29"/>
  <c r="J57" i="29"/>
  <c r="J68" i="29"/>
  <c r="J81" i="29"/>
  <c r="K82" i="29"/>
  <c r="K95" i="29"/>
  <c r="J25" i="29"/>
  <c r="K44" i="29"/>
  <c r="K68" i="29"/>
  <c r="J79" i="29"/>
  <c r="J91" i="29"/>
  <c r="J102" i="29"/>
  <c r="J23" i="29"/>
  <c r="K79" i="29"/>
  <c r="K23" i="29"/>
  <c r="I38" i="29"/>
  <c r="J71" i="29"/>
  <c r="L18" i="29"/>
  <c r="I34" i="29"/>
  <c r="J54" i="29"/>
  <c r="J83" i="29"/>
  <c r="J94" i="29"/>
  <c r="I16" i="29"/>
  <c r="J8" i="29"/>
  <c r="K105" i="29"/>
  <c r="K57" i="29"/>
  <c r="K65" i="29"/>
  <c r="K81" i="29"/>
  <c r="K84" i="29"/>
  <c r="K88" i="29"/>
  <c r="K92" i="29"/>
  <c r="K96" i="29"/>
  <c r="K100" i="29"/>
  <c r="K104" i="29"/>
  <c r="I12" i="29"/>
  <c r="K50" i="29"/>
  <c r="K54" i="29"/>
  <c r="K58" i="29"/>
  <c r="J19" i="29"/>
  <c r="L25" i="29"/>
  <c r="L29" i="29"/>
  <c r="L33" i="29"/>
  <c r="K61" i="29"/>
  <c r="K69" i="29"/>
  <c r="K11" i="29"/>
  <c r="K15" i="29"/>
  <c r="K19" i="29"/>
  <c r="J24" i="29"/>
  <c r="J28" i="29"/>
  <c r="J32" i="29"/>
  <c r="I36" i="29"/>
  <c r="L37" i="29"/>
  <c r="I40" i="29"/>
  <c r="L41" i="29"/>
  <c r="I44" i="29"/>
  <c r="L45" i="29"/>
  <c r="I48" i="29"/>
  <c r="L49" i="29"/>
  <c r="I52" i="29"/>
  <c r="L53" i="29"/>
  <c r="I56" i="29"/>
  <c r="I60" i="29"/>
  <c r="I64" i="29"/>
  <c r="I68" i="29"/>
  <c r="I72" i="29"/>
  <c r="L73" i="29"/>
  <c r="I76" i="29"/>
  <c r="L77" i="29"/>
  <c r="I80" i="29"/>
  <c r="I83" i="29"/>
  <c r="I87" i="29"/>
  <c r="I91" i="29"/>
  <c r="I95" i="29"/>
  <c r="I99" i="29"/>
  <c r="I103" i="29"/>
  <c r="I107" i="29"/>
  <c r="J26" i="29"/>
  <c r="J62" i="29"/>
  <c r="J66" i="29"/>
  <c r="J70" i="29"/>
  <c r="I20" i="29"/>
  <c r="I25" i="29"/>
  <c r="K34" i="29"/>
  <c r="K46" i="29"/>
  <c r="K62" i="29"/>
  <c r="K74" i="29"/>
  <c r="K78" i="29"/>
  <c r="J11" i="29"/>
  <c r="J15" i="29"/>
  <c r="L20" i="29"/>
  <c r="K24" i="29"/>
  <c r="K28" i="29"/>
  <c r="K32" i="29"/>
  <c r="J21" i="29"/>
  <c r="J30" i="29"/>
  <c r="J42" i="29"/>
  <c r="J46" i="29"/>
  <c r="J74" i="29"/>
  <c r="I29" i="29"/>
  <c r="K38" i="29"/>
  <c r="K42" i="29"/>
  <c r="K66" i="29"/>
  <c r="K22" i="29"/>
  <c r="J10" i="29"/>
  <c r="J18" i="29"/>
  <c r="K103" i="29"/>
  <c r="K107" i="29"/>
  <c r="J50" i="29"/>
  <c r="K89" i="29"/>
  <c r="K97" i="29"/>
  <c r="J14" i="29"/>
  <c r="J58" i="29"/>
  <c r="I33" i="29"/>
  <c r="K93" i="29"/>
  <c r="K101" i="29"/>
  <c r="K12" i="29"/>
  <c r="K16" i="29"/>
  <c r="I37" i="29"/>
  <c r="I45" i="29"/>
  <c r="I53" i="29"/>
  <c r="L54" i="29"/>
  <c r="I61" i="29"/>
  <c r="I65" i="29"/>
  <c r="I69" i="29"/>
  <c r="L70" i="29"/>
  <c r="I73" i="29"/>
  <c r="I77" i="29"/>
  <c r="I81" i="29"/>
  <c r="I84" i="29"/>
  <c r="L85" i="29"/>
  <c r="I88" i="29"/>
  <c r="I92" i="29"/>
  <c r="I96" i="29"/>
  <c r="I100" i="29"/>
  <c r="I104" i="29"/>
  <c r="K8" i="29"/>
  <c r="I41" i="29"/>
  <c r="I49" i="29"/>
  <c r="I57" i="29"/>
  <c r="F3" i="27"/>
  <c r="G4" i="10"/>
  <c r="M21" i="31" l="1"/>
  <c r="M21" i="34"/>
  <c r="M40" i="34"/>
  <c r="M12" i="34"/>
  <c r="O111" i="37"/>
  <c r="M93" i="34"/>
  <c r="M37" i="34"/>
  <c r="M96" i="34"/>
  <c r="M103" i="34"/>
  <c r="M22" i="34"/>
  <c r="M55" i="34"/>
  <c r="M42" i="34"/>
  <c r="M76" i="34"/>
  <c r="M100" i="34"/>
  <c r="M106" i="34"/>
  <c r="M52" i="34"/>
  <c r="M90" i="34"/>
  <c r="M98" i="34"/>
  <c r="M41" i="34"/>
  <c r="M35" i="34"/>
  <c r="M94" i="34"/>
  <c r="R69" i="37"/>
  <c r="R61" i="34"/>
  <c r="R81" i="37"/>
  <c r="M84" i="34"/>
  <c r="R52" i="36"/>
  <c r="R22" i="37"/>
  <c r="R76" i="36"/>
  <c r="R50" i="37"/>
  <c r="M97" i="34"/>
  <c r="R32" i="36"/>
  <c r="R90" i="37"/>
  <c r="M49" i="34"/>
  <c r="R86" i="37"/>
  <c r="R102" i="37"/>
  <c r="R24" i="37"/>
  <c r="M67" i="34"/>
  <c r="R44" i="36"/>
  <c r="M19" i="34"/>
  <c r="R37" i="37"/>
  <c r="R33" i="36"/>
  <c r="R9" i="36"/>
  <c r="R8" i="37"/>
  <c r="M11" i="34"/>
  <c r="M8" i="34"/>
  <c r="R17" i="37"/>
  <c r="R45" i="36"/>
  <c r="R14" i="36"/>
  <c r="M60" i="34"/>
  <c r="R10" i="37"/>
  <c r="R35" i="34"/>
  <c r="M95" i="34"/>
  <c r="M77" i="34"/>
  <c r="M85" i="34"/>
  <c r="M47" i="34"/>
  <c r="M56" i="34"/>
  <c r="M69" i="34"/>
  <c r="M54" i="34"/>
  <c r="M88" i="34"/>
  <c r="M58" i="34"/>
  <c r="M17" i="34"/>
  <c r="M43" i="34"/>
  <c r="M27" i="34"/>
  <c r="M64" i="34"/>
  <c r="R101" i="34"/>
  <c r="M65" i="34"/>
  <c r="M59" i="34"/>
  <c r="M110" i="37"/>
  <c r="R14" i="37"/>
  <c r="M46" i="34"/>
  <c r="M71" i="34"/>
  <c r="M86" i="34"/>
  <c r="M79" i="34"/>
  <c r="M83" i="34"/>
  <c r="M61" i="34"/>
  <c r="M73" i="34"/>
  <c r="M50" i="34"/>
  <c r="M24" i="34"/>
  <c r="M30" i="34"/>
  <c r="M38" i="34"/>
  <c r="M18" i="32"/>
  <c r="M25" i="34"/>
  <c r="M78" i="34"/>
  <c r="M33" i="34"/>
  <c r="R45" i="37"/>
  <c r="M31" i="34"/>
  <c r="M13" i="34"/>
  <c r="M28" i="34"/>
  <c r="R60" i="36"/>
  <c r="R60" i="37"/>
  <c r="M20" i="34"/>
  <c r="R24" i="35"/>
  <c r="R20" i="36"/>
  <c r="R20" i="37"/>
  <c r="R101" i="36"/>
  <c r="R101" i="37"/>
  <c r="M110" i="36"/>
  <c r="R52" i="37"/>
  <c r="R75" i="36"/>
  <c r="R75" i="37"/>
  <c r="R78" i="36"/>
  <c r="R78" i="37"/>
  <c r="R47" i="36"/>
  <c r="R47" i="37"/>
  <c r="R86" i="35"/>
  <c r="R32" i="37"/>
  <c r="R107" i="36"/>
  <c r="R107" i="37"/>
  <c r="R44" i="37"/>
  <c r="R53" i="36"/>
  <c r="R53" i="37"/>
  <c r="R106" i="34"/>
  <c r="R62" i="35"/>
  <c r="R33" i="37"/>
  <c r="M36" i="34"/>
  <c r="M34" i="34"/>
  <c r="M91" i="34"/>
  <c r="M9" i="34"/>
  <c r="M82" i="34"/>
  <c r="R16" i="36"/>
  <c r="R16" i="37"/>
  <c r="R70" i="36"/>
  <c r="R70" i="37"/>
  <c r="M70" i="34"/>
  <c r="L109" i="34"/>
  <c r="O110" i="34" s="1"/>
  <c r="O112" i="34" s="1"/>
  <c r="O113" i="34" s="1"/>
  <c r="O115" i="34" s="1"/>
  <c r="O122" i="34" s="1"/>
  <c r="R94" i="36"/>
  <c r="R94" i="37"/>
  <c r="R99" i="36"/>
  <c r="R99" i="37"/>
  <c r="M81" i="31"/>
  <c r="R39" i="36"/>
  <c r="R39" i="37"/>
  <c r="R9" i="37"/>
  <c r="R62" i="36"/>
  <c r="R62" i="37"/>
  <c r="R84" i="36"/>
  <c r="R84" i="37"/>
  <c r="M48" i="34"/>
  <c r="M65" i="32"/>
  <c r="R66" i="36"/>
  <c r="R66" i="37"/>
  <c r="M80" i="34"/>
  <c r="M66" i="34"/>
  <c r="M89" i="34"/>
  <c r="M18" i="34"/>
  <c r="R35" i="36"/>
  <c r="R35" i="37"/>
  <c r="M32" i="34"/>
  <c r="M15" i="34"/>
  <c r="R76" i="37"/>
  <c r="R37" i="32"/>
  <c r="R37" i="36"/>
  <c r="M51" i="34"/>
  <c r="R8" i="35"/>
  <c r="R8" i="36"/>
  <c r="M16" i="34"/>
  <c r="M46" i="31"/>
  <c r="M45" i="34"/>
  <c r="R37" i="35"/>
  <c r="R14" i="35"/>
  <c r="R102" i="35"/>
  <c r="R102" i="36"/>
  <c r="R89" i="34"/>
  <c r="M53" i="34"/>
  <c r="R10" i="35"/>
  <c r="R10" i="36"/>
  <c r="R69" i="35"/>
  <c r="R69" i="36"/>
  <c r="R80" i="34"/>
  <c r="R81" i="36"/>
  <c r="R22" i="34"/>
  <c r="R22" i="36"/>
  <c r="M44" i="34"/>
  <c r="R90" i="35"/>
  <c r="R90" i="36"/>
  <c r="M68" i="34"/>
  <c r="R24" i="32"/>
  <c r="R24" i="36"/>
  <c r="O113" i="36"/>
  <c r="O114" i="36" s="1"/>
  <c r="O116" i="36" s="1"/>
  <c r="M99" i="34"/>
  <c r="R17" i="35"/>
  <c r="R17" i="36"/>
  <c r="R86" i="32"/>
  <c r="R86" i="36"/>
  <c r="R85" i="34"/>
  <c r="M10" i="34"/>
  <c r="M92" i="34"/>
  <c r="M101" i="34"/>
  <c r="R33" i="34"/>
  <c r="M63" i="34"/>
  <c r="M57" i="34"/>
  <c r="R50" i="32"/>
  <c r="R50" i="36"/>
  <c r="M81" i="34"/>
  <c r="R20" i="34"/>
  <c r="R20" i="35"/>
  <c r="R16" i="32"/>
  <c r="R16" i="35"/>
  <c r="R53" i="34"/>
  <c r="R53" i="35"/>
  <c r="M39" i="34"/>
  <c r="R84" i="32"/>
  <c r="R84" i="35"/>
  <c r="M45" i="32"/>
  <c r="R60" i="32"/>
  <c r="R60" i="35"/>
  <c r="M26" i="34"/>
  <c r="M75" i="34"/>
  <c r="R22" i="35"/>
  <c r="R78" i="32"/>
  <c r="R78" i="35"/>
  <c r="R47" i="34"/>
  <c r="R47" i="35"/>
  <c r="R107" i="32"/>
  <c r="R107" i="35"/>
  <c r="R17" i="34"/>
  <c r="R50" i="35"/>
  <c r="R76" i="32"/>
  <c r="R76" i="35"/>
  <c r="R74" i="34"/>
  <c r="R75" i="35"/>
  <c r="R33" i="32"/>
  <c r="R33" i="35"/>
  <c r="M105" i="34"/>
  <c r="R100" i="34"/>
  <c r="R101" i="35"/>
  <c r="R52" i="34"/>
  <c r="R52" i="35"/>
  <c r="M87" i="34"/>
  <c r="R68" i="34"/>
  <c r="R81" i="32"/>
  <c r="R81" i="35"/>
  <c r="R32" i="34"/>
  <c r="R32" i="35"/>
  <c r="M74" i="34"/>
  <c r="M14" i="34"/>
  <c r="R94" i="32"/>
  <c r="R94" i="35"/>
  <c r="R10" i="34"/>
  <c r="M57" i="32"/>
  <c r="M110" i="35"/>
  <c r="R69" i="34"/>
  <c r="R70" i="35"/>
  <c r="R99" i="32"/>
  <c r="R99" i="35"/>
  <c r="R39" i="32"/>
  <c r="R39" i="35"/>
  <c r="M104" i="34"/>
  <c r="R44" i="34"/>
  <c r="R44" i="35"/>
  <c r="R9" i="32"/>
  <c r="R9" i="35"/>
  <c r="R45" i="32"/>
  <c r="R45" i="35"/>
  <c r="R66" i="32"/>
  <c r="R66" i="35"/>
  <c r="R35" i="32"/>
  <c r="R35" i="35"/>
  <c r="M62" i="34"/>
  <c r="M107" i="34"/>
  <c r="M15" i="32"/>
  <c r="M80" i="32"/>
  <c r="R10" i="32"/>
  <c r="R8" i="32"/>
  <c r="R8" i="34"/>
  <c r="R45" i="34"/>
  <c r="R65" i="34"/>
  <c r="M29" i="34"/>
  <c r="R29" i="34"/>
  <c r="R24" i="34"/>
  <c r="M23" i="34"/>
  <c r="R23" i="34"/>
  <c r="R16" i="34"/>
  <c r="M102" i="32"/>
  <c r="R50" i="34"/>
  <c r="J109" i="34"/>
  <c r="R98" i="34"/>
  <c r="R83" i="34"/>
  <c r="R9" i="34"/>
  <c r="R93" i="34"/>
  <c r="R59" i="34"/>
  <c r="R39" i="34"/>
  <c r="R75" i="34"/>
  <c r="R14" i="32"/>
  <c r="R14" i="34"/>
  <c r="R77" i="34"/>
  <c r="R37" i="34"/>
  <c r="R102" i="32"/>
  <c r="M28" i="32"/>
  <c r="M11" i="31"/>
  <c r="M27" i="31"/>
  <c r="M19" i="31"/>
  <c r="M62" i="32"/>
  <c r="R52" i="32"/>
  <c r="M59" i="31"/>
  <c r="M83" i="32"/>
  <c r="M52" i="32"/>
  <c r="M67" i="32"/>
  <c r="M67" i="31"/>
  <c r="M56" i="32"/>
  <c r="M14" i="32"/>
  <c r="M26" i="32"/>
  <c r="M46" i="32"/>
  <c r="M47" i="32"/>
  <c r="M97" i="32"/>
  <c r="M99" i="31"/>
  <c r="M44" i="32"/>
  <c r="M10" i="32"/>
  <c r="M58" i="32"/>
  <c r="M64" i="31"/>
  <c r="M49" i="32"/>
  <c r="M50" i="32"/>
  <c r="M56" i="31"/>
  <c r="M23" i="32"/>
  <c r="M43" i="31"/>
  <c r="M79" i="31"/>
  <c r="M24" i="32"/>
  <c r="M71" i="31"/>
  <c r="M76" i="32"/>
  <c r="M18" i="31"/>
  <c r="M33" i="31"/>
  <c r="R53" i="32"/>
  <c r="M104" i="32"/>
  <c r="M55" i="32"/>
  <c r="M104" i="31"/>
  <c r="M91" i="32"/>
  <c r="M53" i="32"/>
  <c r="M94" i="32"/>
  <c r="M16" i="32"/>
  <c r="M88" i="32"/>
  <c r="R62" i="32"/>
  <c r="M87" i="31"/>
  <c r="M12" i="32"/>
  <c r="M37" i="32"/>
  <c r="M97" i="31"/>
  <c r="M25" i="32"/>
  <c r="M87" i="32"/>
  <c r="M20" i="32"/>
  <c r="M89" i="32"/>
  <c r="M86" i="32"/>
  <c r="M102" i="31"/>
  <c r="M34" i="32"/>
  <c r="M101" i="32"/>
  <c r="M41" i="32"/>
  <c r="M72" i="32"/>
  <c r="M17" i="31"/>
  <c r="M72" i="31"/>
  <c r="M17" i="32"/>
  <c r="M70" i="32"/>
  <c r="M50" i="29"/>
  <c r="M48" i="32"/>
  <c r="M63" i="31"/>
  <c r="M92" i="32"/>
  <c r="M90" i="32"/>
  <c r="M73" i="32"/>
  <c r="M66" i="32"/>
  <c r="M82" i="32"/>
  <c r="M99" i="32"/>
  <c r="M73" i="31"/>
  <c r="M83" i="31"/>
  <c r="M68" i="31"/>
  <c r="R47" i="32"/>
  <c r="M85" i="32"/>
  <c r="M33" i="32"/>
  <c r="M35" i="32"/>
  <c r="R88" i="32"/>
  <c r="R70" i="32"/>
  <c r="M49" i="31"/>
  <c r="M62" i="31"/>
  <c r="M39" i="32"/>
  <c r="M12" i="31"/>
  <c r="M105" i="31"/>
  <c r="M54" i="31"/>
  <c r="M94" i="31"/>
  <c r="M84" i="31"/>
  <c r="M81" i="32"/>
  <c r="M38" i="31"/>
  <c r="M35" i="31"/>
  <c r="M54" i="32"/>
  <c r="M30" i="31"/>
  <c r="M107" i="32"/>
  <c r="M40" i="32"/>
  <c r="M55" i="31"/>
  <c r="M103" i="32"/>
  <c r="M61" i="32"/>
  <c r="M95" i="32"/>
  <c r="M34" i="31"/>
  <c r="M76" i="31"/>
  <c r="M25" i="31"/>
  <c r="M74" i="31"/>
  <c r="M65" i="31"/>
  <c r="M21" i="32"/>
  <c r="M8" i="32"/>
  <c r="M57" i="31"/>
  <c r="M51" i="32"/>
  <c r="M100" i="31"/>
  <c r="M47" i="31"/>
  <c r="M84" i="32"/>
  <c r="M105" i="32"/>
  <c r="M78" i="32"/>
  <c r="M71" i="32"/>
  <c r="M108" i="32"/>
  <c r="M42" i="32"/>
  <c r="M29" i="32"/>
  <c r="M96" i="32"/>
  <c r="M50" i="31"/>
  <c r="M93" i="32"/>
  <c r="M91" i="31"/>
  <c r="M74" i="32"/>
  <c r="R55" i="32"/>
  <c r="R101" i="32"/>
  <c r="M43" i="32"/>
  <c r="M59" i="32"/>
  <c r="M96" i="31"/>
  <c r="R17" i="32"/>
  <c r="M60" i="31"/>
  <c r="M51" i="31"/>
  <c r="M106" i="31"/>
  <c r="M42" i="31"/>
  <c r="M64" i="32"/>
  <c r="M36" i="32"/>
  <c r="M13" i="32"/>
  <c r="M41" i="31"/>
  <c r="M92" i="31"/>
  <c r="M31" i="32"/>
  <c r="M106" i="32"/>
  <c r="M90" i="31"/>
  <c r="M19" i="32"/>
  <c r="M32" i="32"/>
  <c r="M29" i="31"/>
  <c r="M48" i="31"/>
  <c r="M98" i="32"/>
  <c r="M100" i="32"/>
  <c r="I19" i="33"/>
  <c r="C20" i="33" s="1"/>
  <c r="M60" i="32"/>
  <c r="M22" i="32"/>
  <c r="R22" i="32"/>
  <c r="R44" i="32"/>
  <c r="J110" i="32"/>
  <c r="M32" i="31"/>
  <c r="M79" i="32"/>
  <c r="M86" i="31"/>
  <c r="M27" i="32"/>
  <c r="R27" i="32"/>
  <c r="M63" i="32"/>
  <c r="M40" i="31"/>
  <c r="M103" i="31"/>
  <c r="M98" i="31"/>
  <c r="M15" i="31"/>
  <c r="M78" i="31"/>
  <c r="M107" i="31"/>
  <c r="M75" i="32"/>
  <c r="R75" i="32"/>
  <c r="M89" i="31"/>
  <c r="M11" i="32"/>
  <c r="R11" i="32"/>
  <c r="M69" i="32"/>
  <c r="R69" i="32"/>
  <c r="M77" i="32"/>
  <c r="R77" i="32"/>
  <c r="M70" i="31"/>
  <c r="M95" i="31"/>
  <c r="M20" i="31"/>
  <c r="R20" i="32"/>
  <c r="M88" i="31"/>
  <c r="M38" i="32"/>
  <c r="R32" i="32"/>
  <c r="M82" i="31"/>
  <c r="M30" i="32"/>
  <c r="R30" i="32"/>
  <c r="M68" i="32"/>
  <c r="R90" i="32"/>
  <c r="M44" i="31"/>
  <c r="M48" i="29"/>
  <c r="M26" i="31"/>
  <c r="M61" i="31"/>
  <c r="M10" i="31"/>
  <c r="M64" i="29"/>
  <c r="M66" i="31"/>
  <c r="M85" i="31"/>
  <c r="M75" i="31"/>
  <c r="M80" i="31"/>
  <c r="M13" i="31"/>
  <c r="L110" i="32"/>
  <c r="O111" i="32" s="1"/>
  <c r="O113" i="32" s="1"/>
  <c r="M52" i="31"/>
  <c r="M28" i="31"/>
  <c r="M9" i="31"/>
  <c r="M37" i="31"/>
  <c r="M9" i="32"/>
  <c r="M31" i="31"/>
  <c r="M58" i="31"/>
  <c r="M36" i="31"/>
  <c r="M23" i="31"/>
  <c r="M14" i="31"/>
  <c r="M93" i="31"/>
  <c r="M45" i="31"/>
  <c r="M39" i="31"/>
  <c r="M36" i="29"/>
  <c r="M69" i="31"/>
  <c r="M17" i="29"/>
  <c r="L109" i="31"/>
  <c r="O110" i="31" s="1"/>
  <c r="M8" i="31"/>
  <c r="M101" i="31"/>
  <c r="M53" i="31"/>
  <c r="M22" i="31"/>
  <c r="M87" i="29"/>
  <c r="M24" i="31"/>
  <c r="M16" i="31"/>
  <c r="M96" i="29"/>
  <c r="J109" i="31"/>
  <c r="M77" i="31"/>
  <c r="M89" i="29"/>
  <c r="M43" i="29"/>
  <c r="M74" i="29"/>
  <c r="M21" i="29"/>
  <c r="M52" i="29"/>
  <c r="M51" i="29"/>
  <c r="M53" i="29"/>
  <c r="M24" i="29"/>
  <c r="M63" i="29"/>
  <c r="M30" i="29"/>
  <c r="M38" i="29"/>
  <c r="M105" i="29"/>
  <c r="M55" i="29"/>
  <c r="M84" i="29"/>
  <c r="M42" i="29"/>
  <c r="M8" i="29"/>
  <c r="M44" i="29"/>
  <c r="M72" i="29"/>
  <c r="M101" i="29"/>
  <c r="M60" i="29"/>
  <c r="M47" i="29"/>
  <c r="M85" i="29"/>
  <c r="M76" i="29"/>
  <c r="M40" i="29"/>
  <c r="M35" i="29"/>
  <c r="M27" i="29"/>
  <c r="M75" i="29"/>
  <c r="M77" i="29"/>
  <c r="M13" i="29"/>
  <c r="M93" i="29"/>
  <c r="M33" i="29"/>
  <c r="M88" i="29"/>
  <c r="M67" i="29"/>
  <c r="M80" i="29"/>
  <c r="M86" i="29"/>
  <c r="M98" i="29"/>
  <c r="M71" i="29"/>
  <c r="M65" i="29"/>
  <c r="M82" i="29"/>
  <c r="M99" i="29"/>
  <c r="M107" i="29"/>
  <c r="M103" i="29"/>
  <c r="M15" i="29"/>
  <c r="M11" i="29"/>
  <c r="M79" i="29"/>
  <c r="M34" i="29"/>
  <c r="M104" i="29"/>
  <c r="M16" i="29"/>
  <c r="M20" i="29"/>
  <c r="M106" i="29"/>
  <c r="M92" i="29"/>
  <c r="M10" i="29"/>
  <c r="M95" i="29"/>
  <c r="M56" i="29"/>
  <c r="M45" i="29"/>
  <c r="M66" i="29"/>
  <c r="M91" i="29"/>
  <c r="M9" i="29"/>
  <c r="M49" i="29"/>
  <c r="M62" i="29"/>
  <c r="M26" i="29"/>
  <c r="M97" i="29"/>
  <c r="M31" i="29"/>
  <c r="M41" i="29"/>
  <c r="M23" i="29"/>
  <c r="M94" i="29"/>
  <c r="M73" i="29"/>
  <c r="M78" i="29"/>
  <c r="M83" i="29"/>
  <c r="M81" i="29"/>
  <c r="M39" i="29"/>
  <c r="M90" i="29"/>
  <c r="M102" i="29"/>
  <c r="M57" i="29"/>
  <c r="I19" i="30"/>
  <c r="C20" i="30" s="1"/>
  <c r="M22" i="29"/>
  <c r="M18" i="29"/>
  <c r="M100" i="29"/>
  <c r="M59" i="29"/>
  <c r="M12" i="29"/>
  <c r="M69" i="29"/>
  <c r="M37" i="29"/>
  <c r="M25" i="29"/>
  <c r="M14" i="29"/>
  <c r="M19" i="29"/>
  <c r="M68" i="29"/>
  <c r="M61" i="29"/>
  <c r="M29" i="29"/>
  <c r="M32" i="29"/>
  <c r="M58" i="29"/>
  <c r="L109" i="29"/>
  <c r="O110" i="29" s="1"/>
  <c r="O112" i="29" s="1"/>
  <c r="M54" i="29"/>
  <c r="M46" i="29"/>
  <c r="M28" i="29"/>
  <c r="M70" i="29"/>
  <c r="J109" i="29"/>
  <c r="C1" i="10"/>
  <c r="B7" i="27"/>
  <c r="A3" i="1"/>
  <c r="E5" i="11"/>
  <c r="S110" i="42" l="1"/>
  <c r="O113" i="37"/>
  <c r="O114" i="37" s="1"/>
  <c r="S110" i="37"/>
  <c r="O123" i="36"/>
  <c r="H112" i="36"/>
  <c r="H128" i="36" s="1"/>
  <c r="M109" i="34"/>
  <c r="S110" i="36"/>
  <c r="S110" i="35"/>
  <c r="S109" i="34"/>
  <c r="H111" i="34" s="1"/>
  <c r="H127" i="34" s="1"/>
  <c r="S110" i="32"/>
  <c r="H128" i="32" s="1"/>
  <c r="M110" i="32"/>
  <c r="O114" i="32"/>
  <c r="M109" i="31"/>
  <c r="O112" i="31"/>
  <c r="O113" i="31" s="1"/>
  <c r="O115" i="31" s="1"/>
  <c r="O122" i="31" s="1"/>
  <c r="M109" i="29"/>
  <c r="O113" i="29"/>
  <c r="A2" i="1"/>
  <c r="E2" i="10"/>
  <c r="E1" i="10"/>
  <c r="C2" i="10"/>
  <c r="K3" i="11"/>
  <c r="E3" i="11"/>
  <c r="O116" i="37" l="1"/>
  <c r="O116" i="32"/>
  <c r="O123" i="32" s="1"/>
  <c r="O115" i="29"/>
  <c r="O122" i="29" s="1"/>
  <c r="G112" i="10"/>
  <c r="G113" i="10"/>
  <c r="G114" i="10"/>
  <c r="G115" i="10"/>
  <c r="G116" i="10"/>
  <c r="G117" i="10"/>
  <c r="G118" i="10"/>
  <c r="G119" i="10"/>
  <c r="G120" i="10"/>
  <c r="G111" i="10"/>
  <c r="B26" i="11"/>
  <c r="O1" i="10" s="1"/>
  <c r="F17" i="11"/>
  <c r="E112" i="10" s="1"/>
  <c r="F18" i="11"/>
  <c r="E113" i="10" s="1"/>
  <c r="F19" i="11"/>
  <c r="E114" i="10" s="1"/>
  <c r="F20" i="11"/>
  <c r="E115" i="10" s="1"/>
  <c r="F21" i="11"/>
  <c r="E116" i="10" s="1"/>
  <c r="F22" i="11"/>
  <c r="E117" i="10" s="1"/>
  <c r="F23" i="11"/>
  <c r="E118" i="10" s="1"/>
  <c r="F24" i="11"/>
  <c r="E119" i="10" s="1"/>
  <c r="F25" i="11"/>
  <c r="E120" i="10" s="1"/>
  <c r="L94" i="1"/>
  <c r="L93" i="1"/>
  <c r="L92" i="1"/>
  <c r="L91" i="1"/>
  <c r="L90" i="1"/>
  <c r="L84" i="1"/>
  <c r="L83" i="1"/>
  <c r="L82" i="1"/>
  <c r="L81" i="1"/>
  <c r="L78" i="1"/>
  <c r="L75" i="1"/>
  <c r="L74" i="1"/>
  <c r="L73" i="1"/>
  <c r="L72" i="1"/>
  <c r="L71" i="1"/>
  <c r="L70" i="1"/>
  <c r="L69" i="1"/>
  <c r="L68" i="1"/>
  <c r="L67" i="1"/>
  <c r="L66" i="1"/>
  <c r="L65" i="1"/>
  <c r="L62" i="1"/>
  <c r="L61" i="1"/>
  <c r="L60" i="1"/>
  <c r="L59" i="1"/>
  <c r="L58" i="1"/>
  <c r="L57" i="1"/>
  <c r="L56" i="1"/>
  <c r="L55" i="1"/>
  <c r="L54" i="1"/>
  <c r="L53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6" i="1"/>
  <c r="L25" i="1"/>
  <c r="L24" i="1"/>
  <c r="L23" i="1"/>
  <c r="L22" i="1"/>
  <c r="L21" i="1"/>
  <c r="L20" i="1"/>
  <c r="L19" i="1"/>
  <c r="L13" i="1"/>
  <c r="L12" i="1"/>
  <c r="L11" i="1"/>
  <c r="L10" i="1"/>
  <c r="H115" i="37" l="1"/>
  <c r="H128" i="37" s="1"/>
  <c r="O123" i="37"/>
  <c r="L96" i="1"/>
  <c r="I4" i="27" l="1"/>
  <c r="F16" i="11"/>
  <c r="E111" i="10" s="1"/>
  <c r="H102" i="1" l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A98" i="1"/>
  <c r="I3" i="27" l="1"/>
  <c r="D12" i="11"/>
  <c r="B12" i="11" s="1"/>
  <c r="B13" i="27" s="1"/>
  <c r="D13" i="11"/>
  <c r="B13" i="11" s="1"/>
  <c r="B15" i="27" s="1"/>
  <c r="D11" i="11"/>
  <c r="B11" i="11" s="1"/>
  <c r="B11" i="27" s="1"/>
  <c r="E8" i="10"/>
  <c r="L8" i="10" s="1"/>
  <c r="F8" i="10"/>
  <c r="M112" i="10"/>
  <c r="C4" i="10" l="1"/>
  <c r="C5" i="10"/>
  <c r="C3" i="10"/>
  <c r="J8" i="10"/>
  <c r="K8" i="10"/>
  <c r="D9" i="10"/>
  <c r="D8" i="10"/>
  <c r="B8" i="10"/>
  <c r="N94" i="1"/>
  <c r="N93" i="1"/>
  <c r="N92" i="1"/>
  <c r="N91" i="1"/>
  <c r="N90" i="1"/>
  <c r="N84" i="1"/>
  <c r="N83" i="1"/>
  <c r="N82" i="1"/>
  <c r="N81" i="1"/>
  <c r="N78" i="1"/>
  <c r="N75" i="1"/>
  <c r="N74" i="1"/>
  <c r="N73" i="1"/>
  <c r="N72" i="1"/>
  <c r="N71" i="1"/>
  <c r="N70" i="1"/>
  <c r="N69" i="1"/>
  <c r="N68" i="1"/>
  <c r="N67" i="1"/>
  <c r="N66" i="1"/>
  <c r="N65" i="1"/>
  <c r="N62" i="1"/>
  <c r="N61" i="1"/>
  <c r="N60" i="1"/>
  <c r="N59" i="1"/>
  <c r="N58" i="1"/>
  <c r="N57" i="1"/>
  <c r="N56" i="1"/>
  <c r="N55" i="1"/>
  <c r="N54" i="1"/>
  <c r="N53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6" i="1"/>
  <c r="N25" i="1"/>
  <c r="N24" i="1"/>
  <c r="N23" i="1"/>
  <c r="N22" i="1"/>
  <c r="N21" i="1"/>
  <c r="N20" i="1"/>
  <c r="N19" i="1"/>
  <c r="N13" i="1"/>
  <c r="N12" i="1"/>
  <c r="N11" i="1"/>
  <c r="N10" i="1"/>
  <c r="J94" i="1"/>
  <c r="J93" i="1"/>
  <c r="J92" i="1"/>
  <c r="J91" i="1"/>
  <c r="J90" i="1"/>
  <c r="J84" i="1"/>
  <c r="J83" i="1"/>
  <c r="J82" i="1"/>
  <c r="J81" i="1"/>
  <c r="J78" i="1"/>
  <c r="J75" i="1"/>
  <c r="J74" i="1"/>
  <c r="J73" i="1"/>
  <c r="J72" i="1"/>
  <c r="J71" i="1"/>
  <c r="J70" i="1"/>
  <c r="J69" i="1"/>
  <c r="J68" i="1"/>
  <c r="J67" i="1"/>
  <c r="J66" i="1"/>
  <c r="J65" i="1"/>
  <c r="J62" i="1"/>
  <c r="J61" i="1"/>
  <c r="J60" i="1"/>
  <c r="J59" i="1"/>
  <c r="J58" i="1"/>
  <c r="J57" i="1"/>
  <c r="J56" i="1"/>
  <c r="J55" i="1"/>
  <c r="J54" i="1"/>
  <c r="J53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6" i="1"/>
  <c r="J25" i="1"/>
  <c r="J24" i="1"/>
  <c r="J23" i="1"/>
  <c r="J22" i="1"/>
  <c r="J21" i="1"/>
  <c r="J20" i="1"/>
  <c r="J19" i="1"/>
  <c r="J13" i="1"/>
  <c r="J12" i="1"/>
  <c r="J11" i="1"/>
  <c r="J10" i="1"/>
  <c r="H10" i="1"/>
  <c r="H11" i="1"/>
  <c r="H12" i="1"/>
  <c r="H13" i="1"/>
  <c r="H19" i="1"/>
  <c r="H20" i="1"/>
  <c r="H21" i="1"/>
  <c r="H22" i="1"/>
  <c r="H23" i="1"/>
  <c r="H24" i="1"/>
  <c r="H25" i="1"/>
  <c r="H26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3" i="1"/>
  <c r="H54" i="1"/>
  <c r="H55" i="1"/>
  <c r="H56" i="1"/>
  <c r="H57" i="1"/>
  <c r="H58" i="1"/>
  <c r="H59" i="1"/>
  <c r="H60" i="1"/>
  <c r="H61" i="1"/>
  <c r="H62" i="1"/>
  <c r="H65" i="1"/>
  <c r="H66" i="1"/>
  <c r="H67" i="1"/>
  <c r="H68" i="1"/>
  <c r="H69" i="1"/>
  <c r="H70" i="1"/>
  <c r="H71" i="1"/>
  <c r="H72" i="1"/>
  <c r="H73" i="1"/>
  <c r="H74" i="1"/>
  <c r="H75" i="1"/>
  <c r="H78" i="1"/>
  <c r="H81" i="1"/>
  <c r="H82" i="1"/>
  <c r="H83" i="1"/>
  <c r="H84" i="1"/>
  <c r="H90" i="1"/>
  <c r="H91" i="1"/>
  <c r="H92" i="1"/>
  <c r="H93" i="1"/>
  <c r="H94" i="1"/>
  <c r="F10" i="1"/>
  <c r="F11" i="1"/>
  <c r="F12" i="1"/>
  <c r="F13" i="1"/>
  <c r="F19" i="1"/>
  <c r="F20" i="1"/>
  <c r="F21" i="1"/>
  <c r="F22" i="1"/>
  <c r="F23" i="1"/>
  <c r="F24" i="1"/>
  <c r="F25" i="1"/>
  <c r="F26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3" i="1"/>
  <c r="F54" i="1"/>
  <c r="F55" i="1"/>
  <c r="F56" i="1"/>
  <c r="F57" i="1"/>
  <c r="F58" i="1"/>
  <c r="F59" i="1"/>
  <c r="F60" i="1"/>
  <c r="F61" i="1"/>
  <c r="F62" i="1"/>
  <c r="F65" i="1"/>
  <c r="F66" i="1"/>
  <c r="F67" i="1"/>
  <c r="F68" i="1"/>
  <c r="F69" i="1"/>
  <c r="F70" i="1"/>
  <c r="F71" i="1"/>
  <c r="F72" i="1"/>
  <c r="F73" i="1"/>
  <c r="F74" i="1"/>
  <c r="F75" i="1"/>
  <c r="F78" i="1"/>
  <c r="F81" i="1"/>
  <c r="F82" i="1"/>
  <c r="F83" i="1"/>
  <c r="F84" i="1"/>
  <c r="F90" i="1"/>
  <c r="F91" i="1"/>
  <c r="F92" i="1"/>
  <c r="F93" i="1"/>
  <c r="F94" i="1"/>
  <c r="D4" i="1"/>
  <c r="C26" i="11"/>
  <c r="O3" i="10"/>
  <c r="O2" i="10"/>
  <c r="L22" i="27"/>
  <c r="M22" i="27" s="1"/>
  <c r="H20" i="27" a="1"/>
  <c r="H20" i="27" s="1"/>
  <c r="F20" i="27" a="1"/>
  <c r="F20" i="27" s="1"/>
  <c r="I12" i="27"/>
  <c r="E9" i="10" l="1"/>
  <c r="F10" i="10"/>
  <c r="F9" i="10"/>
  <c r="E10" i="10"/>
  <c r="B9" i="10"/>
  <c r="D10" i="10" l="1"/>
  <c r="B10" i="10"/>
  <c r="L10" i="10"/>
  <c r="K10" i="10"/>
  <c r="K9" i="10"/>
  <c r="L9" i="10"/>
  <c r="J9" i="10"/>
  <c r="J10" i="10"/>
  <c r="B11" i="10"/>
  <c r="I10" i="10"/>
  <c r="I9" i="10"/>
  <c r="I8" i="10"/>
  <c r="F11" i="10" l="1"/>
  <c r="E11" i="10"/>
  <c r="F12" i="10"/>
  <c r="D11" i="10"/>
  <c r="E12" i="10"/>
  <c r="J11" i="10" l="1"/>
  <c r="I11" i="10"/>
  <c r="L11" i="10"/>
  <c r="K11" i="10"/>
  <c r="J12" i="10"/>
  <c r="I12" i="10"/>
  <c r="L12" i="10"/>
  <c r="K12" i="10"/>
  <c r="B12" i="10"/>
  <c r="D12" i="10"/>
  <c r="B13" i="10"/>
  <c r="M8" i="10"/>
  <c r="M9" i="10"/>
  <c r="M10" i="10"/>
  <c r="O19" i="10"/>
  <c r="O32" i="10"/>
  <c r="M12" i="10" l="1"/>
  <c r="M11" i="10"/>
  <c r="E13" i="10"/>
  <c r="F13" i="10"/>
  <c r="D13" i="10"/>
  <c r="N96" i="1"/>
  <c r="H96" i="1"/>
  <c r="D8" i="11" s="1"/>
  <c r="B8" i="11" s="1"/>
  <c r="J96" i="1"/>
  <c r="F96" i="1"/>
  <c r="O114" i="10"/>
  <c r="D25" i="11" l="1"/>
  <c r="J25" i="11" s="1"/>
  <c r="I121" i="42" s="1"/>
  <c r="J17" i="11"/>
  <c r="D24" i="11"/>
  <c r="J24" i="11" s="1"/>
  <c r="I120" i="42" s="1"/>
  <c r="J16" i="11"/>
  <c r="D23" i="11"/>
  <c r="J23" i="11" s="1"/>
  <c r="I119" i="42" s="1"/>
  <c r="D22" i="11"/>
  <c r="J22" i="11" s="1"/>
  <c r="I118" i="42" s="1"/>
  <c r="D21" i="11"/>
  <c r="J21" i="11" s="1"/>
  <c r="I117" i="42" s="1"/>
  <c r="D20" i="11"/>
  <c r="J20" i="11" s="1"/>
  <c r="I116" i="42" s="1"/>
  <c r="J19" i="11"/>
  <c r="J18" i="11"/>
  <c r="I14" i="27"/>
  <c r="O4" i="10"/>
  <c r="O5" i="10" s="1"/>
  <c r="O121" i="10" s="1"/>
  <c r="J13" i="10"/>
  <c r="I13" i="10"/>
  <c r="E14" i="10"/>
  <c r="F14" i="10"/>
  <c r="L13" i="10"/>
  <c r="K13" i="10"/>
  <c r="B14" i="10"/>
  <c r="D15" i="10"/>
  <c r="D14" i="10"/>
  <c r="F15" i="10"/>
  <c r="B15" i="10"/>
  <c r="I120" i="37" l="1"/>
  <c r="I121" i="37"/>
  <c r="I116" i="37"/>
  <c r="I117" i="37"/>
  <c r="I118" i="37"/>
  <c r="I119" i="37"/>
  <c r="I116" i="35"/>
  <c r="I116" i="36"/>
  <c r="I118" i="35"/>
  <c r="I118" i="36"/>
  <c r="I117" i="35"/>
  <c r="I117" i="36"/>
  <c r="I119" i="35"/>
  <c r="I119" i="36"/>
  <c r="I120" i="35"/>
  <c r="I120" i="36"/>
  <c r="I121" i="35"/>
  <c r="I121" i="36"/>
  <c r="I118" i="32"/>
  <c r="I117" i="34"/>
  <c r="I121" i="32"/>
  <c r="I120" i="34"/>
  <c r="I119" i="32"/>
  <c r="I118" i="34"/>
  <c r="I120" i="32"/>
  <c r="I119" i="34"/>
  <c r="I117" i="32"/>
  <c r="I116" i="34"/>
  <c r="I116" i="32"/>
  <c r="I115" i="34"/>
  <c r="I117" i="29"/>
  <c r="I117" i="31"/>
  <c r="I118" i="29"/>
  <c r="I118" i="31"/>
  <c r="I116" i="29"/>
  <c r="I116" i="31"/>
  <c r="I119" i="29"/>
  <c r="I119" i="31"/>
  <c r="I115" i="29"/>
  <c r="I115" i="31"/>
  <c r="I120" i="29"/>
  <c r="I120" i="31"/>
  <c r="I119" i="10"/>
  <c r="I113" i="10"/>
  <c r="I111" i="10"/>
  <c r="I118" i="10"/>
  <c r="I116" i="10"/>
  <c r="I112" i="10"/>
  <c r="I115" i="10"/>
  <c r="I114" i="10"/>
  <c r="I117" i="10"/>
  <c r="I120" i="10"/>
  <c r="D26" i="11"/>
  <c r="M13" i="10"/>
  <c r="E16" i="10"/>
  <c r="E15" i="10"/>
  <c r="J15" i="10" s="1"/>
  <c r="J14" i="10"/>
  <c r="I14" i="10"/>
  <c r="I15" i="10"/>
  <c r="L14" i="10"/>
  <c r="K14" i="10"/>
  <c r="M14" i="10" l="1"/>
  <c r="K15" i="10"/>
  <c r="L15" i="10"/>
  <c r="K16" i="10"/>
  <c r="L16" i="10"/>
  <c r="F16" i="10"/>
  <c r="F17" i="10"/>
  <c r="B16" i="10"/>
  <c r="D16" i="10"/>
  <c r="M15" i="10" l="1"/>
  <c r="E18" i="10"/>
  <c r="D18" i="10"/>
  <c r="I17" i="10"/>
  <c r="J16" i="10"/>
  <c r="M16" i="10" s="1"/>
  <c r="I16" i="10"/>
  <c r="D17" i="10"/>
  <c r="L18" i="10" l="1"/>
  <c r="K18" i="10"/>
  <c r="B19" i="10"/>
  <c r="D107" i="10" l="1"/>
  <c r="E107" i="10"/>
  <c r="F107" i="10"/>
  <c r="B107" i="10"/>
  <c r="D41" i="27" l="1"/>
  <c r="C41" i="27"/>
  <c r="C34" i="27"/>
  <c r="F43" i="27"/>
  <c r="I43" i="27" s="1"/>
  <c r="F39" i="27"/>
  <c r="I39" i="27" s="1"/>
  <c r="F26" i="27"/>
  <c r="I26" i="27" s="1"/>
  <c r="D25" i="27"/>
  <c r="D26" i="27"/>
  <c r="F33" i="27"/>
  <c r="I33" i="27" s="1"/>
  <c r="D39" i="27"/>
  <c r="F36" i="27"/>
  <c r="I36" i="27" s="1"/>
  <c r="F32" i="27"/>
  <c r="I32" i="27" s="1"/>
  <c r="D30" i="27"/>
  <c r="C44" i="27"/>
  <c r="C36" i="27"/>
  <c r="F42" i="27"/>
  <c r="I42" i="27" s="1"/>
  <c r="D43" i="27"/>
  <c r="C32" i="27"/>
  <c r="D24" i="27"/>
  <c r="D37" i="27"/>
  <c r="F45" i="27"/>
  <c r="I45" i="27" s="1"/>
  <c r="D31" i="27"/>
  <c r="C26" i="27"/>
  <c r="D42" i="27"/>
  <c r="F29" i="27"/>
  <c r="I29" i="27" s="1"/>
  <c r="F30" i="27"/>
  <c r="I30" i="27" s="1"/>
  <c r="D33" i="27"/>
  <c r="F38" i="27"/>
  <c r="I38" i="27" s="1"/>
  <c r="F25" i="27"/>
  <c r="I25" i="27" s="1"/>
  <c r="D34" i="27"/>
  <c r="F35" i="27"/>
  <c r="I35" i="27" s="1"/>
  <c r="D40" i="27"/>
  <c r="C45" i="27"/>
  <c r="C40" i="27"/>
  <c r="F34" i="27"/>
  <c r="I34" i="27" s="1"/>
  <c r="F24" i="27"/>
  <c r="I24" i="27" s="1"/>
  <c r="C37" i="27"/>
  <c r="D32" i="27"/>
  <c r="C31" i="27"/>
  <c r="C43" i="27"/>
  <c r="F44" i="27"/>
  <c r="I44" i="27" s="1"/>
  <c r="D38" i="27"/>
  <c r="C33" i="27"/>
  <c r="C25" i="27"/>
  <c r="C38" i="27"/>
  <c r="C42" i="27"/>
  <c r="D35" i="27"/>
  <c r="F31" i="27"/>
  <c r="I31" i="27" s="1"/>
  <c r="C39" i="27"/>
  <c r="C27" i="27"/>
  <c r="F40" i="27"/>
  <c r="I40" i="27" s="1"/>
  <c r="C35" i="27"/>
  <c r="C24" i="27"/>
  <c r="F37" i="27"/>
  <c r="I37" i="27" s="1"/>
  <c r="C29" i="27"/>
  <c r="C30" i="27"/>
  <c r="D29" i="27"/>
  <c r="F41" i="27"/>
  <c r="I41" i="27" s="1"/>
  <c r="C28" i="27"/>
  <c r="D44" i="27"/>
  <c r="D27" i="27"/>
  <c r="F28" i="27"/>
  <c r="I28" i="27" s="1"/>
  <c r="D36" i="27"/>
  <c r="F27" i="27"/>
  <c r="I27" i="27" s="1"/>
  <c r="D28" i="27"/>
  <c r="D45" i="27"/>
  <c r="J107" i="10"/>
  <c r="I107" i="10"/>
  <c r="K107" i="10"/>
  <c r="L107" i="10"/>
  <c r="E27" i="10"/>
  <c r="E20" i="10"/>
  <c r="E70" i="10"/>
  <c r="F24" i="10"/>
  <c r="E77" i="10"/>
  <c r="B76" i="10"/>
  <c r="D43" i="10"/>
  <c r="E56" i="10"/>
  <c r="D58" i="10"/>
  <c r="D77" i="10"/>
  <c r="B74" i="10"/>
  <c r="F63" i="10"/>
  <c r="F61" i="10"/>
  <c r="F54" i="10"/>
  <c r="E68" i="10"/>
  <c r="D26" i="10"/>
  <c r="B57" i="10"/>
  <c r="E71" i="10"/>
  <c r="F25" i="10"/>
  <c r="D27" i="10"/>
  <c r="F62" i="10"/>
  <c r="E23" i="10"/>
  <c r="F47" i="10"/>
  <c r="F28" i="10"/>
  <c r="B36" i="10"/>
  <c r="E64" i="10"/>
  <c r="E43" i="10"/>
  <c r="E21" i="10"/>
  <c r="F18" i="10"/>
  <c r="E49" i="10"/>
  <c r="E59" i="10"/>
  <c r="F58" i="10"/>
  <c r="F64" i="10"/>
  <c r="E28" i="10"/>
  <c r="B26" i="10"/>
  <c r="E66" i="10"/>
  <c r="B41" i="10"/>
  <c r="F44" i="10"/>
  <c r="D37" i="10"/>
  <c r="F29" i="10"/>
  <c r="E55" i="10"/>
  <c r="B66" i="10"/>
  <c r="E51" i="10"/>
  <c r="F19" i="10"/>
  <c r="E72" i="10"/>
  <c r="E40" i="10"/>
  <c r="E41" i="10"/>
  <c r="B17" i="10"/>
  <c r="E60" i="10"/>
  <c r="F76" i="10"/>
  <c r="E48" i="10"/>
  <c r="F30" i="10"/>
  <c r="D59" i="10"/>
  <c r="F23" i="10"/>
  <c r="B52" i="10"/>
  <c r="E67" i="10"/>
  <c r="D75" i="10"/>
  <c r="F49" i="10"/>
  <c r="F56" i="10"/>
  <c r="F41" i="10"/>
  <c r="F66" i="10"/>
  <c r="F73" i="10"/>
  <c r="D42" i="10"/>
  <c r="F75" i="10"/>
  <c r="B25" i="10"/>
  <c r="E61" i="10"/>
  <c r="E24" i="10"/>
  <c r="E42" i="10"/>
  <c r="D21" i="10"/>
  <c r="E76" i="10"/>
  <c r="E29" i="10"/>
  <c r="F71" i="10"/>
  <c r="E25" i="10"/>
  <c r="F48" i="10"/>
  <c r="E53" i="10"/>
  <c r="F50" i="10"/>
  <c r="F70" i="10"/>
  <c r="E19" i="10"/>
  <c r="E32" i="10"/>
  <c r="B34" i="10"/>
  <c r="B18" i="10"/>
  <c r="F67" i="10"/>
  <c r="D53" i="10"/>
  <c r="E39" i="10"/>
  <c r="F37" i="10"/>
  <c r="E50" i="10"/>
  <c r="F26" i="10"/>
  <c r="D67" i="10"/>
  <c r="D50" i="10"/>
  <c r="D69" i="10"/>
  <c r="F33" i="10"/>
  <c r="F20" i="10"/>
  <c r="E17" i="10"/>
  <c r="F53" i="10"/>
  <c r="F43" i="10"/>
  <c r="E57" i="10"/>
  <c r="E45" i="10"/>
  <c r="F22" i="10"/>
  <c r="E58" i="10"/>
  <c r="E62" i="10"/>
  <c r="F46" i="10"/>
  <c r="D61" i="10"/>
  <c r="E31" i="10"/>
  <c r="B50" i="10"/>
  <c r="F72" i="10"/>
  <c r="F39" i="10"/>
  <c r="D19" i="10"/>
  <c r="B60" i="10"/>
  <c r="F38" i="10"/>
  <c r="B20" i="10"/>
  <c r="F31" i="10"/>
  <c r="E22" i="10"/>
  <c r="E34" i="10"/>
  <c r="D34" i="10"/>
  <c r="F35" i="10"/>
  <c r="E35" i="10"/>
  <c r="B51" i="10"/>
  <c r="B61" i="10"/>
  <c r="B30" i="10"/>
  <c r="E38" i="10"/>
  <c r="D74" i="10"/>
  <c r="E30" i="10"/>
  <c r="B46" i="10"/>
  <c r="F74" i="10"/>
  <c r="F52" i="10"/>
  <c r="B71" i="10"/>
  <c r="D68" i="10"/>
  <c r="D25" i="10"/>
  <c r="D30" i="10"/>
  <c r="D52" i="10"/>
  <c r="F60" i="10"/>
  <c r="D48" i="10"/>
  <c r="D40" i="10"/>
  <c r="B72" i="10"/>
  <c r="F27" i="10"/>
  <c r="F55" i="10"/>
  <c r="D32" i="10"/>
  <c r="B69" i="10"/>
  <c r="F32" i="10"/>
  <c r="B65" i="10"/>
  <c r="F34" i="10"/>
  <c r="B45" i="10"/>
  <c r="B43" i="10"/>
  <c r="D78" i="10"/>
  <c r="F40" i="10"/>
  <c r="B54" i="10"/>
  <c r="D39" i="10"/>
  <c r="B42" i="10"/>
  <c r="D45" i="10"/>
  <c r="E52" i="10"/>
  <c r="D64" i="10"/>
  <c r="F69" i="10"/>
  <c r="D51" i="10"/>
  <c r="B49" i="10"/>
  <c r="D31" i="10"/>
  <c r="F45" i="10"/>
  <c r="E74" i="10"/>
  <c r="B68" i="10"/>
  <c r="D76" i="10"/>
  <c r="D56" i="10"/>
  <c r="D66" i="10"/>
  <c r="E26" i="10"/>
  <c r="D41" i="10"/>
  <c r="B78" i="10"/>
  <c r="D54" i="10"/>
  <c r="E47" i="10"/>
  <c r="B58" i="10"/>
  <c r="B21" i="10"/>
  <c r="D62" i="10"/>
  <c r="B29" i="10"/>
  <c r="E36" i="10"/>
  <c r="B56" i="10"/>
  <c r="F36" i="10"/>
  <c r="B70" i="10"/>
  <c r="E44" i="10"/>
  <c r="F59" i="10"/>
  <c r="F68" i="10"/>
  <c r="E33" i="10"/>
  <c r="D65" i="10"/>
  <c r="D28" i="10"/>
  <c r="D22" i="10"/>
  <c r="D35" i="10"/>
  <c r="E63" i="10"/>
  <c r="B62" i="10"/>
  <c r="E54" i="10"/>
  <c r="E69" i="10"/>
  <c r="B37" i="10"/>
  <c r="F65" i="10"/>
  <c r="F42" i="10"/>
  <c r="B73" i="10"/>
  <c r="B40" i="10"/>
  <c r="B24" i="10"/>
  <c r="B39" i="10"/>
  <c r="B23" i="10"/>
  <c r="B33" i="10"/>
  <c r="D29" i="10"/>
  <c r="E37" i="10"/>
  <c r="E75" i="10"/>
  <c r="F57" i="10"/>
  <c r="F21" i="10"/>
  <c r="B27" i="10"/>
  <c r="E65" i="10"/>
  <c r="D60" i="10"/>
  <c r="D24" i="10"/>
  <c r="D36" i="10"/>
  <c r="B38" i="10"/>
  <c r="B53" i="10"/>
  <c r="E46" i="10"/>
  <c r="B44" i="10"/>
  <c r="E73" i="10"/>
  <c r="F51" i="10"/>
  <c r="B47" i="10"/>
  <c r="B64" i="10"/>
  <c r="D33" i="10"/>
  <c r="D57" i="10"/>
  <c r="B28" i="10"/>
  <c r="D55" i="10"/>
  <c r="B55" i="10"/>
  <c r="D46" i="10"/>
  <c r="D72" i="10"/>
  <c r="D63" i="10"/>
  <c r="D38" i="10"/>
  <c r="D23" i="10"/>
  <c r="D49" i="10"/>
  <c r="B48" i="10"/>
  <c r="D47" i="10"/>
  <c r="B67" i="10"/>
  <c r="B35" i="10"/>
  <c r="D44" i="10"/>
  <c r="F77" i="10"/>
  <c r="B75" i="10"/>
  <c r="B32" i="10"/>
  <c r="B77" i="10"/>
  <c r="B59" i="10"/>
  <c r="D71" i="10"/>
  <c r="F78" i="10"/>
  <c r="B63" i="10"/>
  <c r="D70" i="10"/>
  <c r="D20" i="10"/>
  <c r="B31" i="10"/>
  <c r="B22" i="10"/>
  <c r="D73" i="10"/>
  <c r="F79" i="10"/>
  <c r="B79" i="10"/>
  <c r="E79" i="10"/>
  <c r="D79" i="10"/>
  <c r="B80" i="10"/>
  <c r="E78" i="10"/>
  <c r="E80" i="10"/>
  <c r="D81" i="10"/>
  <c r="F80" i="10"/>
  <c r="F82" i="10"/>
  <c r="D80" i="10"/>
  <c r="F81" i="10"/>
  <c r="E81" i="10"/>
  <c r="B81" i="10"/>
  <c r="B82" i="10"/>
  <c r="E83" i="10"/>
  <c r="F83" i="10"/>
  <c r="B83" i="10"/>
  <c r="D82" i="10"/>
  <c r="D83" i="10"/>
  <c r="E82" i="10"/>
  <c r="D84" i="10"/>
  <c r="F85" i="10"/>
  <c r="E85" i="10"/>
  <c r="D85" i="10"/>
  <c r="B84" i="10"/>
  <c r="B85" i="10"/>
  <c r="F84" i="10"/>
  <c r="E84" i="10"/>
  <c r="D86" i="10"/>
  <c r="E86" i="10"/>
  <c r="F86" i="10"/>
  <c r="B86" i="10"/>
  <c r="B87" i="10"/>
  <c r="D87" i="10"/>
  <c r="E87" i="10"/>
  <c r="F87" i="10"/>
  <c r="B88" i="10"/>
  <c r="E88" i="10"/>
  <c r="D88" i="10"/>
  <c r="F88" i="10"/>
  <c r="D89" i="10"/>
  <c r="F89" i="10"/>
  <c r="B89" i="10"/>
  <c r="E89" i="10"/>
  <c r="B90" i="10"/>
  <c r="F90" i="10"/>
  <c r="E90" i="10"/>
  <c r="D90" i="10"/>
  <c r="B91" i="10"/>
  <c r="F91" i="10"/>
  <c r="D91" i="10"/>
  <c r="E91" i="10"/>
  <c r="D92" i="10"/>
  <c r="B92" i="10"/>
  <c r="F92" i="10"/>
  <c r="E92" i="10"/>
  <c r="B93" i="10"/>
  <c r="E93" i="10"/>
  <c r="D93" i="10"/>
  <c r="F93" i="10"/>
  <c r="F94" i="10"/>
  <c r="E94" i="10"/>
  <c r="D94" i="10"/>
  <c r="B94" i="10"/>
  <c r="F95" i="10"/>
  <c r="B95" i="10"/>
  <c r="E95" i="10"/>
  <c r="D95" i="10"/>
  <c r="F96" i="10"/>
  <c r="E96" i="10"/>
  <c r="B96" i="10"/>
  <c r="D96" i="10"/>
  <c r="F97" i="10"/>
  <c r="E97" i="10"/>
  <c r="D97" i="10"/>
  <c r="B97" i="10"/>
  <c r="D98" i="10"/>
  <c r="F98" i="10"/>
  <c r="E98" i="10"/>
  <c r="B98" i="10"/>
  <c r="B99" i="10"/>
  <c r="D99" i="10"/>
  <c r="F99" i="10"/>
  <c r="E99" i="10"/>
  <c r="E100" i="10"/>
  <c r="B100" i="10"/>
  <c r="D100" i="10"/>
  <c r="F100" i="10"/>
  <c r="F101" i="10"/>
  <c r="D101" i="10"/>
  <c r="E101" i="10"/>
  <c r="B101" i="10"/>
  <c r="F102" i="10"/>
  <c r="E102" i="10"/>
  <c r="B102" i="10"/>
  <c r="D102" i="10"/>
  <c r="E103" i="10"/>
  <c r="D103" i="10"/>
  <c r="B103" i="10"/>
  <c r="F103" i="10"/>
  <c r="D104" i="10"/>
  <c r="B104" i="10"/>
  <c r="E104" i="10"/>
  <c r="F104" i="10"/>
  <c r="D105" i="10"/>
  <c r="E105" i="10"/>
  <c r="B105" i="10"/>
  <c r="F105" i="10"/>
  <c r="E106" i="10"/>
  <c r="D106" i="10"/>
  <c r="B106" i="10"/>
  <c r="F106" i="10"/>
  <c r="I46" i="27" l="1"/>
  <c r="L98" i="10"/>
  <c r="K98" i="10"/>
  <c r="K65" i="10"/>
  <c r="L65" i="10"/>
  <c r="L103" i="10"/>
  <c r="K103" i="10"/>
  <c r="J101" i="10"/>
  <c r="I101" i="10"/>
  <c r="J97" i="10"/>
  <c r="I97" i="10"/>
  <c r="J95" i="10"/>
  <c r="I95" i="10"/>
  <c r="J82" i="10"/>
  <c r="I82" i="10"/>
  <c r="I78" i="10"/>
  <c r="J78" i="10"/>
  <c r="J65" i="10"/>
  <c r="I65" i="10"/>
  <c r="J45" i="10"/>
  <c r="I45" i="10"/>
  <c r="J74" i="10"/>
  <c r="I74" i="10"/>
  <c r="L35" i="10"/>
  <c r="K35" i="10"/>
  <c r="L62" i="10"/>
  <c r="K62" i="10"/>
  <c r="J20" i="10"/>
  <c r="I20" i="10"/>
  <c r="K39" i="10"/>
  <c r="L39" i="10"/>
  <c r="J50" i="10"/>
  <c r="I50" i="10"/>
  <c r="L42" i="10"/>
  <c r="K42" i="10"/>
  <c r="J41" i="10"/>
  <c r="I41" i="10"/>
  <c r="J30" i="10"/>
  <c r="I30" i="10"/>
  <c r="J19" i="10"/>
  <c r="I19" i="10"/>
  <c r="L66" i="10"/>
  <c r="K66" i="10"/>
  <c r="L21" i="10"/>
  <c r="K21" i="10"/>
  <c r="J63" i="10"/>
  <c r="I63" i="10"/>
  <c r="J24" i="10"/>
  <c r="I24" i="10"/>
  <c r="I106" i="10"/>
  <c r="J106" i="10"/>
  <c r="J104" i="10"/>
  <c r="I104" i="10"/>
  <c r="J100" i="10"/>
  <c r="I100" i="10"/>
  <c r="L92" i="10"/>
  <c r="K92" i="10"/>
  <c r="J88" i="10"/>
  <c r="I88" i="10"/>
  <c r="I83" i="10"/>
  <c r="J83" i="10"/>
  <c r="J80" i="10"/>
  <c r="I80" i="10"/>
  <c r="J79" i="10"/>
  <c r="I79" i="10"/>
  <c r="J51" i="10"/>
  <c r="I51" i="10"/>
  <c r="L36" i="10"/>
  <c r="K36" i="10"/>
  <c r="J32" i="10"/>
  <c r="I32" i="10"/>
  <c r="J60" i="10"/>
  <c r="I60" i="10"/>
  <c r="J35" i="10"/>
  <c r="I35" i="10"/>
  <c r="L58" i="10"/>
  <c r="K58" i="10"/>
  <c r="J33" i="10"/>
  <c r="I33" i="10"/>
  <c r="L53" i="10"/>
  <c r="K53" i="10"/>
  <c r="K24" i="10"/>
  <c r="L24" i="10"/>
  <c r="J56" i="10"/>
  <c r="I56" i="10"/>
  <c r="K48" i="10"/>
  <c r="L48" i="10"/>
  <c r="L51" i="10"/>
  <c r="K51" i="10"/>
  <c r="L43" i="10"/>
  <c r="K43" i="10"/>
  <c r="J25" i="10"/>
  <c r="I25" i="10"/>
  <c r="L70" i="10"/>
  <c r="K70" i="10"/>
  <c r="I92" i="10"/>
  <c r="J92" i="10"/>
  <c r="L85" i="10"/>
  <c r="K85" i="10"/>
  <c r="K73" i="10"/>
  <c r="L73" i="10"/>
  <c r="J22" i="10"/>
  <c r="I22" i="10"/>
  <c r="J48" i="10"/>
  <c r="I48" i="10"/>
  <c r="L28" i="10"/>
  <c r="K28" i="10"/>
  <c r="K64" i="10"/>
  <c r="L64" i="10"/>
  <c r="L20" i="10"/>
  <c r="K20" i="10"/>
  <c r="K102" i="10"/>
  <c r="L102" i="10"/>
  <c r="K96" i="10"/>
  <c r="L96" i="10"/>
  <c r="J90" i="10"/>
  <c r="I90" i="10"/>
  <c r="J85" i="10"/>
  <c r="I85" i="10"/>
  <c r="J40" i="10"/>
  <c r="I40" i="10"/>
  <c r="L34" i="10"/>
  <c r="K34" i="10"/>
  <c r="J64" i="10"/>
  <c r="I64" i="10"/>
  <c r="L27" i="10"/>
  <c r="K27" i="10"/>
  <c r="I102" i="10"/>
  <c r="J102" i="10"/>
  <c r="J96" i="10"/>
  <c r="I96" i="10"/>
  <c r="J55" i="10"/>
  <c r="I55" i="10"/>
  <c r="L38" i="10"/>
  <c r="K38" i="10"/>
  <c r="J28" i="10"/>
  <c r="I28" i="10"/>
  <c r="J105" i="10"/>
  <c r="I105" i="10"/>
  <c r="J103" i="10"/>
  <c r="I103" i="10"/>
  <c r="K99" i="10"/>
  <c r="L99" i="10"/>
  <c r="I93" i="10"/>
  <c r="J93" i="10"/>
  <c r="K91" i="10"/>
  <c r="L91" i="10"/>
  <c r="L89" i="10"/>
  <c r="K89" i="10"/>
  <c r="I87" i="10"/>
  <c r="J87" i="10"/>
  <c r="L84" i="10"/>
  <c r="K84" i="10"/>
  <c r="K82" i="10"/>
  <c r="L82" i="10"/>
  <c r="K81" i="10"/>
  <c r="L81" i="10"/>
  <c r="J57" i="10"/>
  <c r="I57" i="10"/>
  <c r="K63" i="10"/>
  <c r="L63" i="10"/>
  <c r="L44" i="10"/>
  <c r="K44" i="10"/>
  <c r="J27" i="10"/>
  <c r="I27" i="10"/>
  <c r="J31" i="10"/>
  <c r="I31" i="10"/>
  <c r="K31" i="10"/>
  <c r="L31" i="10"/>
  <c r="J43" i="10"/>
  <c r="I43" i="10"/>
  <c r="J26" i="10"/>
  <c r="I26" i="10"/>
  <c r="L32" i="10"/>
  <c r="K32" i="10"/>
  <c r="L29" i="10"/>
  <c r="K29" i="10"/>
  <c r="K41" i="10"/>
  <c r="L41" i="10"/>
  <c r="L59" i="10"/>
  <c r="K59" i="10"/>
  <c r="J47" i="10"/>
  <c r="I47" i="10"/>
  <c r="L68" i="10"/>
  <c r="K68" i="10"/>
  <c r="J86" i="10"/>
  <c r="I86" i="10"/>
  <c r="L69" i="10"/>
  <c r="K69" i="10"/>
  <c r="L61" i="10"/>
  <c r="K61" i="10"/>
  <c r="J49" i="10"/>
  <c r="I49" i="10"/>
  <c r="I98" i="10"/>
  <c r="J98" i="10"/>
  <c r="L86" i="10"/>
  <c r="K86" i="10"/>
  <c r="L80" i="10"/>
  <c r="K80" i="10"/>
  <c r="J68" i="10"/>
  <c r="I68" i="10"/>
  <c r="J72" i="10"/>
  <c r="I72" i="10"/>
  <c r="K45" i="10"/>
  <c r="L45" i="10"/>
  <c r="K55" i="10"/>
  <c r="L55" i="10"/>
  <c r="L78" i="10"/>
  <c r="K78" i="10"/>
  <c r="J21" i="10"/>
  <c r="I21" i="10"/>
  <c r="J75" i="10"/>
  <c r="I75" i="10"/>
  <c r="J58" i="10"/>
  <c r="I58" i="10"/>
  <c r="K56" i="10"/>
  <c r="L56" i="10"/>
  <c r="K101" i="10"/>
  <c r="L101" i="10"/>
  <c r="J99" i="10"/>
  <c r="I99" i="10"/>
  <c r="L95" i="10"/>
  <c r="K95" i="10"/>
  <c r="L87" i="10"/>
  <c r="K87" i="10"/>
  <c r="I84" i="10"/>
  <c r="J84" i="10"/>
  <c r="I81" i="10"/>
  <c r="J81" i="10"/>
  <c r="J77" i="10"/>
  <c r="I77" i="10"/>
  <c r="L75" i="10"/>
  <c r="K75" i="10"/>
  <c r="K47" i="10"/>
  <c r="L47" i="10"/>
  <c r="L52" i="10"/>
  <c r="K52" i="10"/>
  <c r="J53" i="10"/>
  <c r="I53" i="10"/>
  <c r="L50" i="10"/>
  <c r="K50" i="10"/>
  <c r="L19" i="10"/>
  <c r="K19" i="10"/>
  <c r="K76" i="10"/>
  <c r="L76" i="10"/>
  <c r="J73" i="10"/>
  <c r="I73" i="10"/>
  <c r="J23" i="10"/>
  <c r="I23" i="10"/>
  <c r="K40" i="10"/>
  <c r="L40" i="10"/>
  <c r="J44" i="10"/>
  <c r="I44" i="10"/>
  <c r="K49" i="10"/>
  <c r="L49" i="10"/>
  <c r="K23" i="10"/>
  <c r="L23" i="10"/>
  <c r="J54" i="10"/>
  <c r="I54" i="10"/>
  <c r="K104" i="10"/>
  <c r="L104" i="10"/>
  <c r="L90" i="10"/>
  <c r="K90" i="10"/>
  <c r="K83" i="10"/>
  <c r="L83" i="10"/>
  <c r="K33" i="10"/>
  <c r="L33" i="10"/>
  <c r="L26" i="10"/>
  <c r="K26" i="10"/>
  <c r="L30" i="10"/>
  <c r="K30" i="10"/>
  <c r="J39" i="10"/>
  <c r="I39" i="10"/>
  <c r="J67" i="10"/>
  <c r="I67" i="10"/>
  <c r="I76" i="10"/>
  <c r="J76" i="10"/>
  <c r="K71" i="10"/>
  <c r="L71" i="10"/>
  <c r="L94" i="10"/>
  <c r="K94" i="10"/>
  <c r="K88" i="10"/>
  <c r="L88" i="10"/>
  <c r="L54" i="10"/>
  <c r="K54" i="10"/>
  <c r="K25" i="10"/>
  <c r="L25" i="10"/>
  <c r="L60" i="10"/>
  <c r="K60" i="10"/>
  <c r="K106" i="10"/>
  <c r="L106" i="10"/>
  <c r="K100" i="10"/>
  <c r="L100" i="10"/>
  <c r="I94" i="10"/>
  <c r="J94" i="10"/>
  <c r="L46" i="10"/>
  <c r="K46" i="10"/>
  <c r="J59" i="10"/>
  <c r="I59" i="10"/>
  <c r="J69" i="10"/>
  <c r="I69" i="10"/>
  <c r="L22" i="10"/>
  <c r="K22" i="10"/>
  <c r="K57" i="10"/>
  <c r="L57" i="10"/>
  <c r="J71" i="10"/>
  <c r="I71" i="10"/>
  <c r="L67" i="10"/>
  <c r="K67" i="10"/>
  <c r="J29" i="10"/>
  <c r="I29" i="10"/>
  <c r="K105" i="10"/>
  <c r="L105" i="10"/>
  <c r="K97" i="10"/>
  <c r="L97" i="10"/>
  <c r="L93" i="10"/>
  <c r="K93" i="10"/>
  <c r="J91" i="10"/>
  <c r="I91" i="10"/>
  <c r="I89" i="10"/>
  <c r="J89" i="10"/>
  <c r="L79" i="10"/>
  <c r="K79" i="10"/>
  <c r="L37" i="10"/>
  <c r="K37" i="10"/>
  <c r="J42" i="10"/>
  <c r="I42" i="10"/>
  <c r="J36" i="10"/>
  <c r="I36" i="10"/>
  <c r="L74" i="10"/>
  <c r="K74" i="10"/>
  <c r="J34" i="10"/>
  <c r="I34" i="10"/>
  <c r="J52" i="10"/>
  <c r="I52" i="10"/>
  <c r="J38" i="10"/>
  <c r="I38" i="10"/>
  <c r="J46" i="10"/>
  <c r="I46" i="10"/>
  <c r="K17" i="10"/>
  <c r="L17" i="10"/>
  <c r="J17" i="10"/>
  <c r="J37" i="10"/>
  <c r="I37" i="10"/>
  <c r="J70" i="10"/>
  <c r="I70" i="10"/>
  <c r="J66" i="10"/>
  <c r="I66" i="10"/>
  <c r="L72" i="10"/>
  <c r="K72" i="10"/>
  <c r="J18" i="10"/>
  <c r="M18" i="10" s="1"/>
  <c r="I18" i="10"/>
  <c r="J62" i="10"/>
  <c r="I62" i="10"/>
  <c r="J61" i="10"/>
  <c r="I61" i="10"/>
  <c r="L77" i="10"/>
  <c r="K77" i="10"/>
  <c r="M107" i="10"/>
  <c r="I16" i="27" l="1"/>
  <c r="I19" i="27"/>
  <c r="M43" i="10"/>
  <c r="M28" i="10"/>
  <c r="M91" i="10"/>
  <c r="M34" i="10"/>
  <c r="M44" i="10"/>
  <c r="M62" i="10"/>
  <c r="M42" i="10"/>
  <c r="M85" i="10"/>
  <c r="M66" i="10"/>
  <c r="M98" i="10"/>
  <c r="M96" i="10"/>
  <c r="M102" i="10"/>
  <c r="M92" i="10"/>
  <c r="M89" i="10"/>
  <c r="M93" i="10"/>
  <c r="M38" i="10"/>
  <c r="M36" i="10"/>
  <c r="M39" i="10"/>
  <c r="M49" i="10"/>
  <c r="M40" i="10"/>
  <c r="M48" i="10"/>
  <c r="M79" i="10"/>
  <c r="M24" i="10"/>
  <c r="M19" i="10"/>
  <c r="M101" i="10"/>
  <c r="M37" i="10"/>
  <c r="M52" i="10"/>
  <c r="M73" i="10"/>
  <c r="M58" i="10"/>
  <c r="M47" i="10"/>
  <c r="M33" i="10"/>
  <c r="M100" i="10"/>
  <c r="M82" i="10"/>
  <c r="M69" i="10"/>
  <c r="M64" i="10"/>
  <c r="M59" i="10"/>
  <c r="M21" i="10"/>
  <c r="M65" i="10"/>
  <c r="L109" i="10"/>
  <c r="O110" i="10" s="1"/>
  <c r="O112" i="10" s="1"/>
  <c r="H111" i="10" s="1"/>
  <c r="M23" i="10"/>
  <c r="M60" i="10"/>
  <c r="M50" i="10"/>
  <c r="M53" i="10"/>
  <c r="M31" i="10"/>
  <c r="M22" i="10"/>
  <c r="M30" i="10"/>
  <c r="M74" i="10"/>
  <c r="M76" i="10"/>
  <c r="M81" i="10"/>
  <c r="M83" i="10"/>
  <c r="M78" i="10"/>
  <c r="M87" i="10"/>
  <c r="M80" i="10"/>
  <c r="M99" i="10"/>
  <c r="M75" i="10"/>
  <c r="M26" i="10"/>
  <c r="M27" i="10"/>
  <c r="M103" i="10"/>
  <c r="M55" i="10"/>
  <c r="M90" i="10"/>
  <c r="M25" i="10"/>
  <c r="M56" i="10"/>
  <c r="M104" i="10"/>
  <c r="M41" i="10"/>
  <c r="M20" i="10"/>
  <c r="M45" i="10"/>
  <c r="M95" i="10"/>
  <c r="M68" i="10"/>
  <c r="M94" i="10"/>
  <c r="M29" i="10"/>
  <c r="M77" i="10"/>
  <c r="M57" i="10"/>
  <c r="M32" i="10"/>
  <c r="M61" i="10"/>
  <c r="M46" i="10"/>
  <c r="M84" i="10"/>
  <c r="M106" i="10"/>
  <c r="M17" i="10"/>
  <c r="J109" i="10"/>
  <c r="M63" i="10"/>
  <c r="M70" i="10"/>
  <c r="M71" i="10"/>
  <c r="M67" i="10"/>
  <c r="M54" i="10"/>
  <c r="M72" i="10"/>
  <c r="M86" i="10"/>
  <c r="M105" i="10"/>
  <c r="M35" i="10"/>
  <c r="M51" i="10"/>
  <c r="M88" i="10"/>
  <c r="M97" i="10"/>
  <c r="O113" i="10" l="1"/>
  <c r="O115" i="10" s="1"/>
  <c r="O122" i="10" s="1"/>
  <c r="I21" i="27"/>
  <c r="C20" i="27"/>
  <c r="M10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tc={9B92139B-B025-46E9-B544-D0FC027FE33C}</author>
  </authors>
  <commentList>
    <comment ref="F3" authorId="0" shapeId="0" xr:uid="{9B92139B-B025-46E9-B544-D0FC027FE33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tc={9D14254B-C2D1-46F9-8EEA-87F55411C6F1}</author>
    <author>tc={BB84A4BD-8408-4A60-B14A-F91B64ACF790}</author>
    <author>tc={08F6222C-F92D-44E2-907E-804EFE60023E}</author>
    <author>tc={C5B64BD5-BCA9-404C-AB16-A71FD6911E69}</author>
  </authors>
  <commentList>
    <comment ref="G4" authorId="0" shapeId="0" xr:uid="{9D14254B-C2D1-46F9-8EEA-87F55411C6F1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BB84A4BD-8408-4A60-B14A-F91B64ACF790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08F6222C-F92D-44E2-907E-804EFE60023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2" authorId="3" shapeId="0" xr:uid="{C5B64BD5-BCA9-404C-AB16-A71FD6911E6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tc={A1E1D0F5-A7D9-4ADC-8A06-5BD90D414F8D}</author>
  </authors>
  <commentList>
    <comment ref="F3" authorId="0" shapeId="0" xr:uid="{A1E1D0F5-A7D9-4ADC-8A06-5BD90D414F8D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tc={86D0D749-A919-4657-8DDE-71352E5090D4}</author>
    <author>tc={A690A70F-D74D-4772-8D27-AD7E9F073038}</author>
    <author>tc={83E0CBAE-80D3-4D7C-846D-AACEF13FC306}</author>
    <author>tc={3D3DD473-7B91-4F41-A866-33ED6BA600A3}</author>
  </authors>
  <commentList>
    <comment ref="G4" authorId="0" shapeId="0" xr:uid="{86D0D749-A919-4657-8DDE-71352E5090D4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A690A70F-D74D-4772-8D27-AD7E9F073038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83E0CBAE-80D3-4D7C-846D-AACEF13FC30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2" authorId="3" shapeId="0" xr:uid="{3D3DD473-7B91-4F41-A866-33ED6BA600A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tc={54C9FE97-A9A9-4529-9ACC-EA87D0868CFC}</author>
  </authors>
  <commentList>
    <comment ref="F3" authorId="0" shapeId="0" xr:uid="{54C9FE97-A9A9-4529-9ACC-EA87D0868CFC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tc={9CB0520F-BBF4-4828-8802-F46BB715F2A4}</author>
    <author>tc={180859A1-92B5-469D-BDAC-7A70C17122B8}</author>
    <author>tc={C016002D-62EF-488E-9261-4E54C2237960}</author>
    <author>tc={B6107344-0FD0-4C30-B974-D904364AAE3B}</author>
  </authors>
  <commentList>
    <comment ref="G4" authorId="0" shapeId="0" xr:uid="{9CB0520F-BBF4-4828-8802-F46BB715F2A4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180859A1-92B5-469D-BDAC-7A70C17122B8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C016002D-62EF-488E-9261-4E54C223796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2" authorId="3" shapeId="0" xr:uid="{B6107344-0FD0-4C30-B974-D904364AAE3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tc={1E3B1685-E3C5-4EB3-A815-3CDFB571F588}</author>
  </authors>
  <commentList>
    <comment ref="F3" authorId="0" shapeId="0" xr:uid="{1E3B1685-E3C5-4EB3-A815-3CDFB571F58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tc={34E4A4EF-9F17-485A-B2E3-A7E5C5310CD9}</author>
  </authors>
  <commentList>
    <comment ref="F3" authorId="0" shapeId="0" xr:uid="{34E4A4EF-9F17-485A-B2E3-A7E5C5310CD9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tc={6A5A353C-60BF-4992-809D-C4CB40CD2A79}</author>
  </authors>
  <commentList>
    <comment ref="G4" authorId="0" shapeId="0" xr:uid="{6A5A353C-60BF-4992-809D-C4CB40CD2A79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tc={792C75D0-6906-4049-BCFC-E848B569830E}</author>
  </authors>
  <commentList>
    <comment ref="G4" authorId="0" shapeId="0" xr:uid="{792C75D0-6906-4049-BCFC-E848B569830E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tc={4BB2F2C8-39E6-47DB-AEDD-8A859BB1773D}</author>
  </authors>
  <commentList>
    <comment ref="G4" authorId="0" shapeId="0" xr:uid="{4BB2F2C8-39E6-47DB-AEDD-8A859BB1773D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tc={9EBF19D8-F3B0-4D45-B477-CE0082F330DD}</author>
    <author>tc={1017B3AF-B95C-4693-AAE6-36B3A9A4D1A2}</author>
    <author>tc={1A96E158-59BA-455E-BA2D-9742E77D1A97}</author>
    <author>tc={FD87FA52-58A8-4A41-A260-B98CE11204B5}</author>
  </authors>
  <commentList>
    <comment ref="G4" authorId="0" shapeId="0" xr:uid="{9EBF19D8-F3B0-4D45-B477-CE0082F330DD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1017B3AF-B95C-4693-AAE6-36B3A9A4D1A2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1A96E158-59BA-455E-BA2D-9742E77D1A9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1" authorId="3" shapeId="0" xr:uid="{FD87FA52-58A8-4A41-A260-B98CE11204B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tc={F2480A2B-CD17-4820-9508-C619C2899828}</author>
    <author>tc={C82FBECD-AAC6-4F69-A919-7444A3DBE887}</author>
    <author>tc={376FC9E7-46FA-423A-BE4D-F2B85BD6D393}</author>
    <author>tc={8E3D2499-5816-40D4-A5A1-7614CE82276E}</author>
  </authors>
  <commentList>
    <comment ref="G4" authorId="0" shapeId="0" xr:uid="{F2480A2B-CD17-4820-9508-C619C2899828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C82FBECD-AAC6-4F69-A919-7444A3DBE887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376FC9E7-46FA-423A-BE4D-F2B85BD6D39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2" authorId="3" shapeId="0" xr:uid="{8E3D2499-5816-40D4-A5A1-7614CE82276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tc={8D4221DC-62BE-40B6-882B-695EEB603F4B}</author>
    <author>tc={74102B3D-B74B-41D9-9D21-622907170341}</author>
    <author>tc={F2F20AAA-762A-4DCB-A075-83B3CCFBDD80}</author>
    <author>tc={B1FBB8DB-04CB-4827-8FD1-71B7875C055E}</author>
  </authors>
  <commentList>
    <comment ref="G4" authorId="0" shapeId="0" xr:uid="{8D4221DC-62BE-40B6-882B-695EEB603F4B}">
      <text>
        <t>[Threaded comment]
Your version of Excel allows you to read this threaded comment; however, any edits to it will get removed if the file is opened in a newer version of Excel. Learn more: https://go.microsoft.com/fwlink/?linkid=870924
Comment:
    Calculates Automatically - Do Not Manually Enter</t>
      </text>
    </comment>
    <comment ref="H9" authorId="1" shapeId="0" xr:uid="{74102B3D-B74B-41D9-9D21-622907170341}">
      <text>
        <t>[Threaded comment]
Your version of Excel allows you to read this threaded comment; however, any edits to it will get removed if the file is opened in a newer version of Excel. Learn more: https://go.microsoft.com/fwlink/?linkid=870924
Comment:
    247.825</t>
      </text>
    </comment>
    <comment ref="H10" authorId="2" shapeId="0" xr:uid="{F2F20AAA-762A-4DCB-A075-83B3CCFBDD8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763.375
</t>
      </text>
    </comment>
    <comment ref="H62" authorId="3" shapeId="0" xr:uid="{B1FBB8DB-04CB-4827-8FD1-71B7875C055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513.567
</t>
      </text>
    </comment>
  </commentList>
</comments>
</file>

<file path=xl/sharedStrings.xml><?xml version="1.0" encoding="utf-8"?>
<sst xmlns="http://schemas.openxmlformats.org/spreadsheetml/2006/main" count="1634" uniqueCount="312">
  <si>
    <t>BID-TABULATION SHEET</t>
  </si>
  <si>
    <t>Bidder1</t>
  </si>
  <si>
    <t>Bidder2</t>
  </si>
  <si>
    <t>Bidder3</t>
  </si>
  <si>
    <t>Bid Date:</t>
  </si>
  <si>
    <t>ENGINEER'S ESTIMATE</t>
  </si>
  <si>
    <t>UNITS</t>
  </si>
  <si>
    <t>QUANTITY</t>
  </si>
  <si>
    <t>PRICE</t>
  </si>
  <si>
    <t>AMOUNT</t>
  </si>
  <si>
    <t>TOTAL</t>
  </si>
  <si>
    <t>0 days.</t>
  </si>
  <si>
    <t>P.O.#</t>
  </si>
  <si>
    <t>ACCT#</t>
  </si>
  <si>
    <t>CONTRACTOR</t>
  </si>
  <si>
    <t>CHANGE ORDERS APPROVED TO DATE:</t>
  </si>
  <si>
    <t>CHANGE ORDERS</t>
  </si>
  <si>
    <t>(Name)</t>
  </si>
  <si>
    <t>ORIGINAL CONTRACT:</t>
  </si>
  <si>
    <t>(Address)</t>
  </si>
  <si>
    <t>(City, State, Zip)</t>
  </si>
  <si>
    <t>CURRENT ADJUSTMENT</t>
  </si>
  <si>
    <t>ADJUSTED CONTRACT</t>
  </si>
  <si>
    <t>The contract is hereby modified and amended as follows:</t>
  </si>
  <si>
    <t>ITEM</t>
  </si>
  <si>
    <t>DESCRIPTION</t>
  </si>
  <si>
    <t xml:space="preserve"> UNIT</t>
  </si>
  <si>
    <t>It is mutually agreed that the contract price is increased/decreased by:</t>
  </si>
  <si>
    <t>payable/deductible immediately upon completion of the work called for in this order. As a result of this change order,</t>
  </si>
  <si>
    <t>the time for completion of the above-mentioned contract is hereby extended by an additional</t>
  </si>
  <si>
    <t>This change order is incorporated into and governed by the above mentioned contract.</t>
  </si>
  <si>
    <t>Accepted for Contractor:</t>
  </si>
  <si>
    <t>Recommended for Approval by the City of Ames:</t>
  </si>
  <si>
    <t>Contractor/Owner                                                        Date</t>
  </si>
  <si>
    <t>For the City of Ames:</t>
  </si>
  <si>
    <t>Public Works Director                                                 Date</t>
  </si>
  <si>
    <t>Page</t>
  </si>
  <si>
    <t>of</t>
  </si>
  <si>
    <t>ACCOUNT NUMBER:</t>
  </si>
  <si>
    <t xml:space="preserve">PROJECT NAME:  </t>
  </si>
  <si>
    <t xml:space="preserve">CONTRACTOR:   </t>
  </si>
  <si>
    <t xml:space="preserve">CITY OF AMES, IOWA </t>
  </si>
  <si>
    <t>CONTRACT DATE:</t>
  </si>
  <si>
    <t xml:space="preserve">ADDRESS:            </t>
  </si>
  <si>
    <t xml:space="preserve">ESTIMATE </t>
  </si>
  <si>
    <t>ORIGINAL CONTRACT AMOUNT:</t>
  </si>
  <si>
    <t>Date</t>
  </si>
  <si>
    <t>ADJUSTED CONTRACT AMOUNT:</t>
  </si>
  <si>
    <t>Q U A N T I T I E S</t>
  </si>
  <si>
    <t>NO</t>
  </si>
  <si>
    <t>CONTRACT</t>
  </si>
  <si>
    <t>ACTUAL</t>
  </si>
  <si>
    <t>+ or -</t>
  </si>
  <si>
    <t>CHANGE ORDER</t>
  </si>
  <si>
    <t>PREVIOUS</t>
  </si>
  <si>
    <t>PAYMENTS</t>
  </si>
  <si>
    <t>RECOMMENDED FOR APPROVAL:</t>
  </si>
  <si>
    <t>ACCOUNT#</t>
  </si>
  <si>
    <t xml:space="preserve">                         ADJUSTMENT(S):</t>
  </si>
  <si>
    <t xml:space="preserve">                             NET TOTAL:</t>
  </si>
  <si>
    <t>Director of Public Works                             Date</t>
  </si>
  <si>
    <t xml:space="preserve">                LESS PREVIOUS PAYMENTS:</t>
  </si>
  <si>
    <t>AMOUNT PAYABLE THIS ESTIMATE:</t>
  </si>
  <si>
    <t>TOTAL ESTIMATED VALUE OF WORK PERFORMED:</t>
  </si>
  <si>
    <t>PURCHASE ORDER#:</t>
  </si>
  <si>
    <t>SUBTOTAL BASE BID</t>
  </si>
  <si>
    <t>ADJUSTED</t>
  </si>
  <si>
    <t>P R I C E</t>
  </si>
  <si>
    <t>Department</t>
  </si>
  <si>
    <t>Division</t>
  </si>
  <si>
    <t>Fiscal Year</t>
  </si>
  <si>
    <t>Program</t>
  </si>
  <si>
    <t>Location</t>
  </si>
  <si>
    <t>Contract Date</t>
  </si>
  <si>
    <t>Award Amount</t>
  </si>
  <si>
    <t>Amount</t>
  </si>
  <si>
    <t>DATE:</t>
  </si>
  <si>
    <t>CITY COUNCIL APPROVAL</t>
  </si>
  <si>
    <t>PREVIOUS APPROVED</t>
  </si>
  <si>
    <t>City Manager</t>
  </si>
  <si>
    <t>Municipal Engineer</t>
  </si>
  <si>
    <t>Total:</t>
  </si>
  <si>
    <t>CUMULATIVE CHANGE</t>
  </si>
  <si>
    <t>ORDER AMOUNT</t>
  </si>
  <si>
    <t>RESET AMOUNT</t>
  </si>
  <si>
    <t>Municipal Engineer                                       Date</t>
  </si>
  <si>
    <t xml:space="preserve">CONTRACT CHANGE ORDER # </t>
  </si>
  <si>
    <t>Splits</t>
  </si>
  <si>
    <t>Project Engineer</t>
  </si>
  <si>
    <t>Purchase Order</t>
  </si>
  <si>
    <t>Bid Let Date</t>
  </si>
  <si>
    <t>Contractor Name</t>
  </si>
  <si>
    <t>Contractor Address1</t>
  </si>
  <si>
    <t>Contractor Address2</t>
  </si>
  <si>
    <t>Account Number1</t>
  </si>
  <si>
    <t>Account Number2</t>
  </si>
  <si>
    <t>Account Number3</t>
  </si>
  <si>
    <t>Account Number4</t>
  </si>
  <si>
    <t>Account Number5</t>
  </si>
  <si>
    <t>Account Number6</t>
  </si>
  <si>
    <t>Account Number7</t>
  </si>
  <si>
    <t>Account Number8</t>
  </si>
  <si>
    <t>Account Number9</t>
  </si>
  <si>
    <t>Account Number0</t>
  </si>
  <si>
    <t>Project Title</t>
  </si>
  <si>
    <t>Project Management</t>
  </si>
  <si>
    <t>n</t>
  </si>
  <si>
    <t>DOT PROJECT? (Y/N)</t>
  </si>
  <si>
    <t>AMOUNT AVAILABLE FOR PAYMENT:</t>
  </si>
  <si>
    <t>REMAINING AMOUNT:</t>
  </si>
  <si>
    <t>From "BIDTAB"</t>
  </si>
  <si>
    <t>VALUE</t>
  </si>
  <si>
    <t>LOCATION(S):</t>
  </si>
  <si>
    <t>COMMENTS:</t>
  </si>
  <si>
    <t>Enter "ITEM" and "QUANTITY" columns only, the rest are formulas</t>
  </si>
  <si>
    <t>TOTALS:</t>
  </si>
  <si>
    <t>ADD ITEMS BELOW LINE:</t>
  </si>
  <si>
    <t>NOT USED FOR ADD ITEMS</t>
  </si>
  <si>
    <t>Add items at bottom of "BIDTAB" sheet</t>
  </si>
  <si>
    <t>% SPLIT</t>
  </si>
  <si>
    <t>Cells below are linked to PAY EST (Do not change or resize):</t>
  </si>
  <si>
    <t>&lt;&lt; This is not printed</t>
  </si>
  <si>
    <t>*HIDE ALL UNUSED ROWS; DO NOT DELETE THEM!</t>
  </si>
  <si>
    <t>Public Works</t>
  </si>
  <si>
    <t>Engineering</t>
  </si>
  <si>
    <t>Bidder4</t>
  </si>
  <si>
    <t>UNIT PRICE</t>
  </si>
  <si>
    <t xml:space="preserve">Business Office Email </t>
  </si>
  <si>
    <t>2023/24</t>
  </si>
  <si>
    <t>Seal Coat Street Pavement Improvements</t>
  </si>
  <si>
    <t>E 16th St; Glendale Ave</t>
  </si>
  <si>
    <t>Dean Sayre</t>
  </si>
  <si>
    <t>Division 1 - General</t>
  </si>
  <si>
    <t>(Not Used)</t>
  </si>
  <si>
    <t>Division 2 - Earthwork</t>
  </si>
  <si>
    <t>Topsoil, 8" Depth</t>
  </si>
  <si>
    <t>Excavation, Class 10, 11" Depth</t>
  </si>
  <si>
    <t>Subgrade Preparation, 12" Depth</t>
  </si>
  <si>
    <t>Special Backfill, 6" Depth</t>
  </si>
  <si>
    <t>Division 3 - Trench, Backfill and Tunnelling</t>
  </si>
  <si>
    <t>Division 4 - Sewers and Drains</t>
  </si>
  <si>
    <t>Sanitary Sewer Gravity Main, Trenched, PVC, 8" dia.</t>
  </si>
  <si>
    <t>Sanitary Sewer Service Stub</t>
  </si>
  <si>
    <t>Removal of Sanitary Sewer, any type or size</t>
  </si>
  <si>
    <t>Storm Sewer, Trenched, RCP, 15" dia.</t>
  </si>
  <si>
    <t>Removal of Storm Sewer, any type or size</t>
  </si>
  <si>
    <t>Footing Drain Collector and Fittings, PVC, 6" dia.</t>
  </si>
  <si>
    <t>Footing Drain Cleanout, PVC, 6" dia.</t>
  </si>
  <si>
    <t>Storm Sewer Service Stub, PVC, 2" dia.</t>
  </si>
  <si>
    <t>Division 5 - Water Mains and Appurtenances</t>
  </si>
  <si>
    <t>Water Main, Trenched, PVC, 8" dia.</t>
  </si>
  <si>
    <t>Water Main, Trenched, DIP, 8" dia.</t>
  </si>
  <si>
    <t>Water Main, Trenched, DIP, 6" dia.</t>
  </si>
  <si>
    <t>Water Main, Trenchless, PVC, 8" dia.</t>
  </si>
  <si>
    <t>Water Main, Trenchless, DIP, 8" dia.</t>
  </si>
  <si>
    <t>Fitting, 8"x6"x8"x6" Cross</t>
  </si>
  <si>
    <t>Fitting, 8"x6"x8" Tee</t>
  </si>
  <si>
    <t>Fitting, 6"x6"x6" Tee</t>
  </si>
  <si>
    <t>Fitting, 45 deg Bend, 8" dia.</t>
  </si>
  <si>
    <t>Fitting, 90 deg Bend, 6" dia.</t>
  </si>
  <si>
    <t>Fitting, Pipe Cap, 8" dia</t>
  </si>
  <si>
    <t>Water Service Stub, Copper, 1" dia., Type 'A'</t>
  </si>
  <si>
    <t>Water Service Stub, Copper, 1" dia., Type 'B'</t>
  </si>
  <si>
    <t>Water Service Stub, Copper, 1" dia., Type 'C'</t>
  </si>
  <si>
    <t>Water Service Stub, Copper, 1" dia., Type 'D'</t>
  </si>
  <si>
    <t>Valve, Gate, 8" dia.</t>
  </si>
  <si>
    <t>Valve, Gate, 6" dia.</t>
  </si>
  <si>
    <t>Fire Hydrant Assembly, 6" barrel</t>
  </si>
  <si>
    <t>Valve Box Replacment/Adjustment</t>
  </si>
  <si>
    <t>Fire Hydrant Assembly Removal</t>
  </si>
  <si>
    <t>Valve Removal</t>
  </si>
  <si>
    <t>Abandon Main, any size</t>
  </si>
  <si>
    <t>Division 6 - Structures for Sanitary and Storm Sewer</t>
  </si>
  <si>
    <t>Manhole, Sanitary, Type SW-301, 48" dia.</t>
  </si>
  <si>
    <t>Manhole, Storm, Type SW-401, 48" dia.</t>
  </si>
  <si>
    <t>Intake Type SW-501</t>
  </si>
  <si>
    <t>Intake Type SW-503</t>
  </si>
  <si>
    <t>Manhole Adjustment, Sanitary Sewer, Minor</t>
  </si>
  <si>
    <t>Manhole Adjustment, Sanitary Sewer, Major</t>
  </si>
  <si>
    <t>Intake Adjustment, Minor</t>
  </si>
  <si>
    <t>Remove Manhole, Sanitary Sewer</t>
  </si>
  <si>
    <t>Remove Manhole, Storm Sewer</t>
  </si>
  <si>
    <t>Remove Intake</t>
  </si>
  <si>
    <t>Division 7 - Streets and Related Work</t>
  </si>
  <si>
    <t>Curb &amp; Gutter, 30" width, 12" thickness</t>
  </si>
  <si>
    <t>Pavement, HMA, Base, 5" depth</t>
  </si>
  <si>
    <t>Pavement, HMA, Surface, 2" depth</t>
  </si>
  <si>
    <t>Removal of Sidewalk/Driveway</t>
  </si>
  <si>
    <t>Sidewalk/Drive, PCC, 6"/4" depth</t>
  </si>
  <si>
    <t>Detectable Warning</t>
  </si>
  <si>
    <t>Full Depth Patch, PCC</t>
  </si>
  <si>
    <t>Milling</t>
  </si>
  <si>
    <t>Pavement Removal</t>
  </si>
  <si>
    <t>Curb &amp; Gutter Removal</t>
  </si>
  <si>
    <t>Engineering Fabric/Geogrid Fabric</t>
  </si>
  <si>
    <t>Division 8 - Traffic Control</t>
  </si>
  <si>
    <t>Temporary Traffic Control</t>
  </si>
  <si>
    <t>Division 9 - Sitework and Landscaping</t>
  </si>
  <si>
    <t>Wattles</t>
  </si>
  <si>
    <t>Inlet Protection Device</t>
  </si>
  <si>
    <t>Inlet Protection Device, Maintenance</t>
  </si>
  <si>
    <t>Modular Block Retaining Wall</t>
  </si>
  <si>
    <t>Division 10 - Demolition</t>
  </si>
  <si>
    <t>Division 11 - Miscellaneous</t>
  </si>
  <si>
    <t>Construction Survey/Staking</t>
  </si>
  <si>
    <t>Pedestrian Facility Construction Survey &amp; Staking</t>
  </si>
  <si>
    <t>Monument Preservation or Replacement</t>
  </si>
  <si>
    <t>Mobilization</t>
  </si>
  <si>
    <t>Concrete Washout</t>
  </si>
  <si>
    <t>cy</t>
  </si>
  <si>
    <t>sy</t>
  </si>
  <si>
    <t>lf</t>
  </si>
  <si>
    <t>ea</t>
  </si>
  <si>
    <t>ton</t>
  </si>
  <si>
    <t>sf</t>
  </si>
  <si>
    <t>ls</t>
  </si>
  <si>
    <t>Manatt's Inc</t>
  </si>
  <si>
    <t>2120 E 13th Street</t>
  </si>
  <si>
    <t>Ames, IA 50010</t>
  </si>
  <si>
    <t>InRoads LLC</t>
  </si>
  <si>
    <t>4761 NE 20th Lane</t>
  </si>
  <si>
    <t>Des Moines, IA 50213</t>
  </si>
  <si>
    <t>384-8101-439-7517</t>
  </si>
  <si>
    <t>607-7704-39-7517</t>
  </si>
  <si>
    <t>520-8542-489-7514</t>
  </si>
  <si>
    <t>510-8461489-7514</t>
  </si>
  <si>
    <t>2.1</t>
  </si>
  <si>
    <t>2.2</t>
  </si>
  <si>
    <t>2.3</t>
  </si>
  <si>
    <t>2.4</t>
  </si>
  <si>
    <t>5.20</t>
  </si>
  <si>
    <t>5.17</t>
  </si>
  <si>
    <t>5.14</t>
  </si>
  <si>
    <t>5.13</t>
  </si>
  <si>
    <t>5.5</t>
  </si>
  <si>
    <t>5.1</t>
  </si>
  <si>
    <t>5.2</t>
  </si>
  <si>
    <t>5.3</t>
  </si>
  <si>
    <t>5.4</t>
  </si>
  <si>
    <t>5.6</t>
  </si>
  <si>
    <t>5.7</t>
  </si>
  <si>
    <t>5.9</t>
  </si>
  <si>
    <t>5.11</t>
  </si>
  <si>
    <t>5.8</t>
  </si>
  <si>
    <t>5.15</t>
  </si>
  <si>
    <t>5.16</t>
  </si>
  <si>
    <t>5.18</t>
  </si>
  <si>
    <t>5.19</t>
  </si>
  <si>
    <t>5.21</t>
  </si>
  <si>
    <t>5.22</t>
  </si>
  <si>
    <t>6.1</t>
  </si>
  <si>
    <t>6.3</t>
  </si>
  <si>
    <t>6.2</t>
  </si>
  <si>
    <t>6.5</t>
  </si>
  <si>
    <t>6.6</t>
  </si>
  <si>
    <t>6.8</t>
  </si>
  <si>
    <t>6.7</t>
  </si>
  <si>
    <t>6.9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</si>
  <si>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</si>
  <si>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</si>
  <si>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</si>
  <si>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</si>
  <si>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</si>
  <si>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</si>
  <si>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</si>
  <si>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</si>
  <si>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</si>
  <si>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7.11</t>
  </si>
  <si>
    <t>8.1</t>
  </si>
  <si>
    <t>9.1</t>
  </si>
  <si>
    <t>9.2</t>
  </si>
  <si>
    <t>9.3</t>
  </si>
  <si>
    <t>9.4</t>
  </si>
  <si>
    <t>11.1</t>
  </si>
  <si>
    <t>11.2</t>
  </si>
  <si>
    <t>11.3</t>
  </si>
  <si>
    <t>11.4</t>
  </si>
  <si>
    <t>11.5</t>
  </si>
  <si>
    <t>4.1</t>
  </si>
  <si>
    <t>4.2</t>
  </si>
  <si>
    <t>4.3</t>
  </si>
  <si>
    <t>4.4</t>
  </si>
  <si>
    <t>4.5</t>
  </si>
  <si>
    <t>4.6</t>
  </si>
  <si>
    <t>4.8</t>
  </si>
  <si>
    <t>4.7</t>
  </si>
  <si>
    <t>5.10</t>
  </si>
  <si>
    <t>6.10</t>
  </si>
  <si>
    <t>7.10</t>
  </si>
  <si>
    <t>5.12</t>
  </si>
  <si>
    <t>6.4</t>
  </si>
  <si>
    <t>4.9</t>
  </si>
  <si>
    <t>EA</t>
  </si>
  <si>
    <t>Conection to Existing Structure</t>
  </si>
  <si>
    <t>Total</t>
  </si>
  <si>
    <t>FY 23/24</t>
  </si>
  <si>
    <t>retained</t>
  </si>
  <si>
    <t>6.11</t>
  </si>
  <si>
    <t xml:space="preserve">Sanitary Sewer MH - External Drop (E 16th and Maxwell) </t>
  </si>
  <si>
    <t>LS</t>
  </si>
  <si>
    <t>BAL</t>
  </si>
  <si>
    <t>2023-23 Seal Coat Program</t>
  </si>
  <si>
    <t>2024-25 Neighborhood Curb Program</t>
  </si>
  <si>
    <t>2023-24 Water System Improvements</t>
  </si>
  <si>
    <t>2023-24 Sanitary Sewer Improvements</t>
  </si>
  <si>
    <t>Available Revenue</t>
  </si>
  <si>
    <t>Estimated Expenses</t>
  </si>
  <si>
    <t xml:space="preserve">Seal Coat Final </t>
  </si>
  <si>
    <t>Engineering/Administration</t>
  </si>
  <si>
    <t>6.12</t>
  </si>
  <si>
    <t>Sanitary Service Replacement</t>
  </si>
  <si>
    <t xml:space="preserve">FINAL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</si>
</sst>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/d/yy"/>
  </numFmts>
  <fonts count="3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i/>
      <sz val="7"/>
      <name val="Arial"/>
      <family val="2"/>
    </font>
    <font>
      <sz val="11"/>
      <name val="Arial"/>
      <family val="2"/>
    </font>
    <font>
      <u/>
      <sz val="10"/>
      <name val="Arial"/>
      <family val="2"/>
    </font>
    <font>
      <u/>
      <sz val="7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sz val="7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i/>
      <u/>
      <sz val="10"/>
      <name val="Arial"/>
      <family val="2"/>
    </font>
    <font>
      <sz val="10"/>
      <color theme="0" tint="-0.34998626667073579"/>
      <name val="Arial"/>
      <family val="2"/>
    </font>
    <font>
      <i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rgb="FFFF0000"/>
      <name val="Arial"/>
      <family val="2"/>
    </font>
    <font>
      <i/>
      <sz val="10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sz val="10"/>
      <color rgb="FFC00000"/>
      <name val="Arial"/>
      <family val="2"/>
    </font>
    <font>
      <sz val="10"/>
      <color rgb="FFFF0000"/>
      <name val="Arial"/>
      <family val="2"/>
    </font>
    <font>
      <b/>
      <i/>
      <sz val="10"/>
      <name val="Arial"/>
      <family val="2"/>
    </font>
    <font>
      <b/>
      <sz val="10"/>
      <name val="Apex Sans Extrabold"/>
      <family val="3"/>
      <charset val="238"/>
    </font>
    <font>
      <sz val="9"/>
      <color rgb="FF000000"/>
      <name val="Segoe UI"/>
      <family val="2"/>
    </font>
    <font>
      <sz val="8"/>
      <name val="Arial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8"/>
      </right>
      <top/>
      <bottom style="double">
        <color indexed="64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 style="dashDot">
        <color auto="1"/>
      </right>
      <top/>
      <bottom/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/>
      <diagonal/>
    </border>
    <border>
      <left/>
      <right style="dashDot">
        <color auto="1"/>
      </right>
      <top/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2">
    <xf numFmtId="0" fontId="0" fillId="0" borderId="0" xfId="0"/>
    <xf numFmtId="0" fontId="4" fillId="0" borderId="0" xfId="0" applyFont="1" applyAlignment="1">
      <alignment horizontal="center"/>
    </xf>
    <xf numFmtId="15" fontId="6" fillId="0" borderId="0" xfId="0" applyNumberFormat="1" applyFont="1"/>
    <xf numFmtId="0" fontId="3" fillId="0" borderId="0" xfId="0" applyFont="1" applyAlignment="1">
      <alignment horizontal="right"/>
    </xf>
    <xf numFmtId="0" fontId="0" fillId="0" borderId="3" xfId="0" applyBorder="1"/>
    <xf numFmtId="0" fontId="7" fillId="0" borderId="6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7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right"/>
    </xf>
    <xf numFmtId="7" fontId="10" fillId="0" borderId="0" xfId="0" applyNumberFormat="1" applyFont="1"/>
    <xf numFmtId="0" fontId="12" fillId="0" borderId="0" xfId="0" applyFont="1" applyAlignment="1">
      <alignment horizontal="center"/>
    </xf>
    <xf numFmtId="7" fontId="6" fillId="0" borderId="0" xfId="0" applyNumberFormat="1" applyFont="1" applyAlignment="1">
      <alignment horizontal="center"/>
    </xf>
    <xf numFmtId="0" fontId="13" fillId="0" borderId="15" xfId="0" applyFont="1" applyBorder="1" applyAlignment="1">
      <alignment horizontal="right"/>
    </xf>
    <xf numFmtId="0" fontId="14" fillId="0" borderId="0" xfId="0" applyFont="1"/>
    <xf numFmtId="0" fontId="8" fillId="0" borderId="0" xfId="0" applyFont="1" applyAlignment="1">
      <alignment vertical="top"/>
    </xf>
    <xf numFmtId="0" fontId="15" fillId="0" borderId="0" xfId="0" applyFont="1" applyAlignment="1">
      <alignment horizontal="right"/>
    </xf>
    <xf numFmtId="0" fontId="15" fillId="0" borderId="0" xfId="0" applyFont="1"/>
    <xf numFmtId="0" fontId="15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6" xfId="0" applyFont="1" applyBorder="1"/>
    <xf numFmtId="0" fontId="4" fillId="0" borderId="5" xfId="0" applyFont="1" applyBorder="1" applyAlignment="1">
      <alignment horizontal="right"/>
    </xf>
    <xf numFmtId="0" fontId="4" fillId="0" borderId="0" xfId="0" applyFont="1"/>
    <xf numFmtId="0" fontId="1" fillId="0" borderId="0" xfId="0" applyFont="1" applyAlignment="1">
      <alignment horizontal="right"/>
    </xf>
    <xf numFmtId="0" fontId="1" fillId="0" borderId="6" xfId="0" applyFont="1" applyBorder="1"/>
    <xf numFmtId="0" fontId="12" fillId="0" borderId="10" xfId="0" applyFont="1" applyBorder="1" applyAlignment="1">
      <alignment horizontal="center" shrinkToFit="1"/>
    </xf>
    <xf numFmtId="0" fontId="1" fillId="0" borderId="5" xfId="0" applyFont="1" applyBorder="1"/>
    <xf numFmtId="0" fontId="14" fillId="0" borderId="5" xfId="0" applyFont="1" applyBorder="1" applyAlignment="1">
      <alignment horizontal="right"/>
    </xf>
    <xf numFmtId="0" fontId="4" fillId="0" borderId="5" xfId="0" applyFont="1" applyBorder="1"/>
    <xf numFmtId="15" fontId="20" fillId="0" borderId="7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/>
    <xf numFmtId="0" fontId="1" fillId="0" borderId="4" xfId="0" applyFont="1" applyBorder="1"/>
    <xf numFmtId="7" fontId="1" fillId="0" borderId="8" xfId="0" applyNumberFormat="1" applyFont="1" applyBorder="1"/>
    <xf numFmtId="0" fontId="2" fillId="0" borderId="0" xfId="0" applyFont="1" applyAlignment="1">
      <alignment horizontal="center" vertical="top"/>
    </xf>
    <xf numFmtId="7" fontId="1" fillId="0" borderId="5" xfId="0" applyNumberFormat="1" applyFont="1" applyBorder="1"/>
    <xf numFmtId="0" fontId="1" fillId="0" borderId="11" xfId="0" applyFont="1" applyBorder="1"/>
    <xf numFmtId="39" fontId="1" fillId="0" borderId="7" xfId="0" applyNumberFormat="1" applyFont="1" applyBorder="1"/>
    <xf numFmtId="8" fontId="1" fillId="0" borderId="0" xfId="0" applyNumberFormat="1" applyFont="1" applyAlignment="1">
      <alignment horizontal="right"/>
    </xf>
    <xf numFmtId="0" fontId="13" fillId="0" borderId="0" xfId="0" applyFont="1"/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43" fontId="1" fillId="0" borderId="17" xfId="1" applyFont="1" applyBorder="1" applyAlignment="1">
      <alignment horizontal="right"/>
    </xf>
    <xf numFmtId="39" fontId="1" fillId="0" borderId="18" xfId="0" applyNumberFormat="1" applyFont="1" applyBorder="1" applyAlignment="1">
      <alignment horizontal="right"/>
    </xf>
    <xf numFmtId="43" fontId="1" fillId="0" borderId="19" xfId="1" applyFont="1" applyBorder="1" applyAlignment="1">
      <alignment horizontal="right"/>
    </xf>
    <xf numFmtId="0" fontId="14" fillId="0" borderId="0" xfId="0" applyFont="1" applyAlignment="1">
      <alignment horizontal="justify" vertical="center" wrapText="1"/>
    </xf>
    <xf numFmtId="0" fontId="21" fillId="0" borderId="0" xfId="0" applyFont="1" applyAlignment="1">
      <alignment horizontal="left" vertical="center" wrapText="1"/>
    </xf>
    <xf numFmtId="0" fontId="14" fillId="0" borderId="0" xfId="0" applyFont="1" applyAlignment="1">
      <alignment horizontal="fill" vertical="center"/>
    </xf>
    <xf numFmtId="0" fontId="2" fillId="0" borderId="0" xfId="0" applyFont="1"/>
    <xf numFmtId="44" fontId="4" fillId="0" borderId="0" xfId="3" applyFont="1"/>
    <xf numFmtId="7" fontId="8" fillId="0" borderId="10" xfId="0" applyNumberFormat="1" applyFont="1" applyBorder="1" applyAlignment="1">
      <alignment horizontal="center"/>
    </xf>
    <xf numFmtId="7" fontId="18" fillId="0" borderId="0" xfId="0" applyNumberFormat="1" applyFont="1"/>
    <xf numFmtId="0" fontId="18" fillId="0" borderId="0" xfId="0" applyFont="1"/>
    <xf numFmtId="7" fontId="18" fillId="0" borderId="5" xfId="0" applyNumberFormat="1" applyFont="1" applyBorder="1"/>
    <xf numFmtId="7" fontId="4" fillId="0" borderId="0" xfId="0" applyNumberFormat="1" applyFont="1" applyAlignment="1">
      <alignment horizontal="right"/>
    </xf>
    <xf numFmtId="0" fontId="1" fillId="0" borderId="0" xfId="0" applyFont="1" applyAlignment="1">
      <alignment horizontal="centerContinuous"/>
    </xf>
    <xf numFmtId="0" fontId="4" fillId="0" borderId="0" xfId="2" applyFont="1" applyAlignment="1" applyProtection="1">
      <alignment horizontal="centerContinuous"/>
      <protection locked="0"/>
    </xf>
    <xf numFmtId="0" fontId="1" fillId="0" borderId="0" xfId="2" applyFont="1" applyAlignment="1" applyProtection="1">
      <alignment horizontal="center"/>
      <protection locked="0"/>
    </xf>
    <xf numFmtId="164" fontId="10" fillId="0" borderId="10" xfId="0" applyNumberFormat="1" applyFont="1" applyBorder="1" applyAlignment="1">
      <alignment horizontal="center"/>
    </xf>
    <xf numFmtId="7" fontId="1" fillId="0" borderId="9" xfId="0" applyNumberFormat="1" applyFont="1" applyBorder="1"/>
    <xf numFmtId="7" fontId="1" fillId="0" borderId="10" xfId="0" applyNumberFormat="1" applyFont="1" applyBorder="1"/>
    <xf numFmtId="7" fontId="1" fillId="0" borderId="18" xfId="0" applyNumberFormat="1" applyFont="1" applyBorder="1"/>
    <xf numFmtId="14" fontId="1" fillId="0" borderId="4" xfId="0" applyNumberFormat="1" applyFont="1" applyBorder="1"/>
    <xf numFmtId="14" fontId="1" fillId="0" borderId="6" xfId="0" applyNumberFormat="1" applyFont="1" applyBorder="1"/>
    <xf numFmtId="14" fontId="22" fillId="0" borderId="0" xfId="0" applyNumberFormat="1" applyFont="1"/>
    <xf numFmtId="164" fontId="22" fillId="0" borderId="0" xfId="0" applyNumberFormat="1" applyFont="1"/>
    <xf numFmtId="0" fontId="1" fillId="0" borderId="9" xfId="0" applyFont="1" applyBorder="1" applyAlignment="1">
      <alignment horizontal="centerContinuous"/>
    </xf>
    <xf numFmtId="0" fontId="4" fillId="0" borderId="0" xfId="0" applyFont="1" applyAlignment="1">
      <alignment horizontal="left"/>
    </xf>
    <xf numFmtId="0" fontId="1" fillId="0" borderId="10" xfId="0" applyFont="1" applyBorder="1"/>
    <xf numFmtId="0" fontId="1" fillId="0" borderId="3" xfId="0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0" fontId="1" fillId="0" borderId="36" xfId="0" applyFont="1" applyBorder="1"/>
    <xf numFmtId="0" fontId="1" fillId="0" borderId="37" xfId="0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41" xfId="0" applyFont="1" applyBorder="1"/>
    <xf numFmtId="164" fontId="0" fillId="0" borderId="38" xfId="0" applyNumberFormat="1" applyBorder="1"/>
    <xf numFmtId="164" fontId="0" fillId="0" borderId="40" xfId="0" applyNumberFormat="1" applyBorder="1"/>
    <xf numFmtId="164" fontId="0" fillId="0" borderId="42" xfId="0" applyNumberFormat="1" applyBorder="1"/>
    <xf numFmtId="9" fontId="0" fillId="0" borderId="37" xfId="4" applyFont="1" applyBorder="1" applyAlignment="1">
      <alignment horizontal="center"/>
    </xf>
    <xf numFmtId="9" fontId="0" fillId="0" borderId="39" xfId="4" applyFont="1" applyBorder="1" applyAlignment="1">
      <alignment horizontal="center"/>
    </xf>
    <xf numFmtId="9" fontId="0" fillId="0" borderId="41" xfId="4" applyFont="1" applyBorder="1" applyAlignment="1">
      <alignment horizontal="center"/>
    </xf>
    <xf numFmtId="164" fontId="4" fillId="0" borderId="0" xfId="0" applyNumberFormat="1" applyFont="1"/>
    <xf numFmtId="9" fontId="4" fillId="0" borderId="0" xfId="0" applyNumberFormat="1" applyFont="1" applyAlignment="1">
      <alignment horizontal="center"/>
    </xf>
    <xf numFmtId="164" fontId="1" fillId="0" borderId="3" xfId="0" applyNumberFormat="1" applyFont="1" applyBorder="1" applyAlignment="1">
      <alignment horizontal="right"/>
    </xf>
    <xf numFmtId="0" fontId="1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164" fontId="19" fillId="0" borderId="11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" fillId="0" borderId="13" xfId="0" applyFont="1" applyBorder="1" applyAlignment="1">
      <alignment horizontal="center"/>
    </xf>
    <xf numFmtId="0" fontId="1" fillId="0" borderId="13" xfId="0" applyFont="1" applyBorder="1"/>
    <xf numFmtId="0" fontId="1" fillId="0" borderId="13" xfId="0" applyFont="1" applyBorder="1" applyAlignment="1">
      <alignment horizontal="right"/>
    </xf>
    <xf numFmtId="164" fontId="1" fillId="0" borderId="13" xfId="0" applyNumberFormat="1" applyFont="1" applyBorder="1" applyAlignment="1">
      <alignment horizontal="right"/>
    </xf>
    <xf numFmtId="0" fontId="14" fillId="0" borderId="3" xfId="0" applyFont="1" applyBorder="1"/>
    <xf numFmtId="0" fontId="14" fillId="0" borderId="13" xfId="0" applyFont="1" applyBorder="1"/>
    <xf numFmtId="164" fontId="23" fillId="0" borderId="14" xfId="0" applyNumberFormat="1" applyFont="1" applyBorder="1" applyAlignment="1">
      <alignment horizontal="right"/>
    </xf>
    <xf numFmtId="0" fontId="14" fillId="0" borderId="16" xfId="0" applyFont="1" applyBorder="1"/>
    <xf numFmtId="164" fontId="24" fillId="0" borderId="11" xfId="0" applyNumberFormat="1" applyFont="1" applyBorder="1" applyAlignment="1">
      <alignment horizontal="right"/>
    </xf>
    <xf numFmtId="164" fontId="23" fillId="0" borderId="3" xfId="0" applyNumberFormat="1" applyFont="1" applyBorder="1" applyAlignment="1">
      <alignment horizontal="right"/>
    </xf>
    <xf numFmtId="164" fontId="19" fillId="0" borderId="16" xfId="0" applyNumberFormat="1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165" fontId="4" fillId="0" borderId="20" xfId="0" applyNumberFormat="1" applyFont="1" applyBorder="1" applyAlignment="1">
      <alignment horizontal="center"/>
    </xf>
    <xf numFmtId="0" fontId="6" fillId="0" borderId="0" xfId="0" applyFont="1"/>
    <xf numFmtId="0" fontId="14" fillId="0" borderId="5" xfId="0" applyFont="1" applyBorder="1" applyAlignment="1">
      <alignment horizontal="centerContinuous"/>
    </xf>
    <xf numFmtId="0" fontId="14" fillId="0" borderId="9" xfId="0" applyFont="1" applyBorder="1" applyAlignment="1">
      <alignment horizontal="centerContinuous"/>
    </xf>
    <xf numFmtId="0" fontId="25" fillId="0" borderId="0" xfId="0" applyFont="1"/>
    <xf numFmtId="164" fontId="23" fillId="0" borderId="16" xfId="0" applyNumberFormat="1" applyFont="1" applyBorder="1" applyAlignment="1">
      <alignment horizontal="right"/>
    </xf>
    <xf numFmtId="164" fontId="1" fillId="0" borderId="16" xfId="0" applyNumberFormat="1" applyFont="1" applyBorder="1" applyAlignment="1">
      <alignment horizontal="right"/>
    </xf>
    <xf numFmtId="0" fontId="4" fillId="0" borderId="13" xfId="0" applyFont="1" applyBorder="1" applyAlignment="1">
      <alignment horizontal="center"/>
    </xf>
    <xf numFmtId="0" fontId="4" fillId="0" borderId="13" xfId="0" applyFont="1" applyBorder="1"/>
    <xf numFmtId="0" fontId="24" fillId="0" borderId="13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14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1" fillId="0" borderId="36" xfId="0" applyFont="1" applyBorder="1" applyAlignment="1">
      <alignment horizontal="right"/>
    </xf>
    <xf numFmtId="164" fontId="26" fillId="0" borderId="48" xfId="0" applyNumberFormat="1" applyFont="1" applyBorder="1" applyAlignment="1">
      <alignment horizontal="right"/>
    </xf>
    <xf numFmtId="0" fontId="27" fillId="0" borderId="49" xfId="0" applyFont="1" applyBorder="1" applyAlignment="1">
      <alignment horizontal="right"/>
    </xf>
    <xf numFmtId="0" fontId="26" fillId="0" borderId="49" xfId="0" applyFont="1" applyBorder="1" applyAlignment="1">
      <alignment horizontal="right"/>
    </xf>
    <xf numFmtId="0" fontId="26" fillId="0" borderId="50" xfId="0" applyFont="1" applyBorder="1" applyAlignment="1">
      <alignment horizontal="right"/>
    </xf>
    <xf numFmtId="164" fontId="28" fillId="0" borderId="3" xfId="0" applyNumberFormat="1" applyFont="1" applyBorder="1" applyAlignment="1">
      <alignment horizontal="right"/>
    </xf>
    <xf numFmtId="0" fontId="28" fillId="0" borderId="3" xfId="0" applyFont="1" applyBorder="1" applyAlignment="1">
      <alignment horizontal="right"/>
    </xf>
    <xf numFmtId="164" fontId="6" fillId="0" borderId="10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3" fillId="0" borderId="14" xfId="0" applyFont="1" applyBorder="1" applyAlignment="1">
      <alignment horizontal="centerContinuous"/>
    </xf>
    <xf numFmtId="0" fontId="13" fillId="0" borderId="15" xfId="0" applyFont="1" applyBorder="1" applyAlignment="1">
      <alignment horizontal="centerContinuous"/>
    </xf>
    <xf numFmtId="0" fontId="1" fillId="0" borderId="11" xfId="0" applyFont="1" applyBorder="1" applyAlignment="1">
      <alignment horizontal="centerContinuous"/>
    </xf>
    <xf numFmtId="0" fontId="1" fillId="0" borderId="18" xfId="0" applyFont="1" applyBorder="1" applyAlignment="1">
      <alignment horizontal="centerContinuous"/>
    </xf>
    <xf numFmtId="0" fontId="24" fillId="2" borderId="13" xfId="0" applyFont="1" applyFill="1" applyBorder="1" applyAlignment="1">
      <alignment horizontal="center"/>
    </xf>
    <xf numFmtId="0" fontId="1" fillId="2" borderId="16" xfId="0" applyFont="1" applyFill="1" applyBorder="1"/>
    <xf numFmtId="0" fontId="1" fillId="2" borderId="3" xfId="0" applyFont="1" applyFill="1" applyBorder="1"/>
    <xf numFmtId="0" fontId="29" fillId="0" borderId="0" xfId="0" applyFont="1"/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>
      <alignment horizontal="center"/>
    </xf>
    <xf numFmtId="0" fontId="1" fillId="0" borderId="0" xfId="2" applyFont="1" applyProtection="1">
      <protection locked="0"/>
    </xf>
    <xf numFmtId="0" fontId="1" fillId="0" borderId="0" xfId="2" applyFont="1" applyAlignment="1">
      <alignment horizontal="right"/>
    </xf>
    <xf numFmtId="4" fontId="1" fillId="0" borderId="0" xfId="2" applyNumberFormat="1" applyFont="1"/>
    <xf numFmtId="0" fontId="1" fillId="0" borderId="0" xfId="2" applyFont="1" applyAlignment="1" applyProtection="1">
      <alignment horizontal="left"/>
      <protection locked="0"/>
    </xf>
    <xf numFmtId="14" fontId="1" fillId="0" borderId="0" xfId="2" applyNumberFormat="1" applyFont="1" applyProtection="1">
      <protection locked="0"/>
    </xf>
    <xf numFmtId="164" fontId="1" fillId="0" borderId="0" xfId="2" applyNumberFormat="1" applyFont="1"/>
    <xf numFmtId="14" fontId="1" fillId="0" borderId="0" xfId="2" applyNumberFormat="1" applyFont="1" applyAlignment="1">
      <alignment horizontal="center"/>
    </xf>
    <xf numFmtId="15" fontId="1" fillId="0" borderId="0" xfId="2" applyNumberFormat="1" applyFont="1" applyAlignment="1">
      <alignment horizontal="center"/>
    </xf>
    <xf numFmtId="15" fontId="1" fillId="0" borderId="0" xfId="2" applyNumberFormat="1" applyFont="1"/>
    <xf numFmtId="0" fontId="4" fillId="0" borderId="21" xfId="2" applyFont="1" applyBorder="1"/>
    <xf numFmtId="0" fontId="4" fillId="0" borderId="1" xfId="2" applyFont="1" applyBorder="1"/>
    <xf numFmtId="0" fontId="4" fillId="0" borderId="1" xfId="2" applyFont="1" applyBorder="1" applyAlignment="1">
      <alignment horizontal="center"/>
    </xf>
    <xf numFmtId="0" fontId="4" fillId="0" borderId="4" xfId="2" applyFont="1" applyBorder="1" applyAlignment="1">
      <alignment horizontal="centerContinuous"/>
    </xf>
    <xf numFmtId="0" fontId="4" fillId="0" borderId="5" xfId="2" applyFont="1" applyBorder="1" applyAlignment="1">
      <alignment horizontal="centerContinuous"/>
    </xf>
    <xf numFmtId="0" fontId="4" fillId="0" borderId="9" xfId="2" applyFont="1" applyBorder="1" applyAlignment="1">
      <alignment horizontal="centerContinuous"/>
    </xf>
    <xf numFmtId="0" fontId="4" fillId="0" borderId="7" xfId="2" applyFont="1" applyBorder="1"/>
    <xf numFmtId="0" fontId="1" fillId="0" borderId="7" xfId="2" applyFont="1" applyBorder="1" applyProtection="1">
      <protection locked="0"/>
    </xf>
    <xf numFmtId="0" fontId="4" fillId="0" borderId="7" xfId="2" applyFont="1" applyBorder="1" applyAlignment="1">
      <alignment horizontal="center"/>
    </xf>
    <xf numFmtId="0" fontId="4" fillId="0" borderId="7" xfId="2" applyFont="1" applyBorder="1" applyAlignment="1">
      <alignment horizontal="right"/>
    </xf>
    <xf numFmtId="0" fontId="4" fillId="0" borderId="11" xfId="2" applyFont="1" applyBorder="1"/>
    <xf numFmtId="0" fontId="4" fillId="0" borderId="18" xfId="2" applyFont="1" applyBorder="1" applyAlignment="1">
      <alignment horizontal="right"/>
    </xf>
    <xf numFmtId="40" fontId="1" fillId="0" borderId="9" xfId="2" applyNumberFormat="1" applyFont="1" applyBorder="1"/>
    <xf numFmtId="8" fontId="1" fillId="0" borderId="0" xfId="2" applyNumberFormat="1" applyFont="1"/>
    <xf numFmtId="2" fontId="1" fillId="0" borderId="2" xfId="2" applyNumberFormat="1" applyFont="1" applyBorder="1" applyAlignment="1">
      <alignment horizontal="centerContinuous"/>
    </xf>
    <xf numFmtId="0" fontId="1" fillId="0" borderId="24" xfId="2" applyFont="1" applyBorder="1" applyAlignment="1">
      <alignment horizontal="centerContinuous"/>
    </xf>
    <xf numFmtId="2" fontId="1" fillId="0" borderId="0" xfId="2" applyNumberFormat="1" applyFont="1"/>
    <xf numFmtId="3" fontId="1" fillId="0" borderId="0" xfId="2" applyNumberFormat="1" applyFont="1"/>
    <xf numFmtId="40" fontId="1" fillId="0" borderId="10" xfId="2" applyNumberFormat="1" applyFont="1" applyBorder="1"/>
    <xf numFmtId="2" fontId="4" fillId="0" borderId="23" xfId="2" applyNumberFormat="1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1" fillId="0" borderId="23" xfId="2" applyFont="1" applyBorder="1" applyAlignment="1">
      <alignment horizontal="left"/>
    </xf>
    <xf numFmtId="0" fontId="1" fillId="0" borderId="2" xfId="2" applyFont="1" applyBorder="1" applyAlignment="1">
      <alignment horizontal="left"/>
    </xf>
    <xf numFmtId="0" fontId="1" fillId="0" borderId="2" xfId="2" applyFont="1" applyBorder="1"/>
    <xf numFmtId="0" fontId="4" fillId="0" borderId="23" xfId="2" applyFont="1" applyBorder="1" applyAlignment="1">
      <alignment horizontal="center"/>
    </xf>
    <xf numFmtId="0" fontId="1" fillId="0" borderId="23" xfId="2" applyFont="1" applyBorder="1" applyAlignment="1">
      <alignment horizontal="center"/>
    </xf>
    <xf numFmtId="0" fontId="1" fillId="0" borderId="23" xfId="2" applyFont="1" applyBorder="1" applyAlignment="1">
      <alignment horizontal="centerContinuous"/>
    </xf>
    <xf numFmtId="0" fontId="1" fillId="0" borderId="25" xfId="2" applyFont="1" applyBorder="1" applyAlignment="1">
      <alignment horizontal="left"/>
    </xf>
    <xf numFmtId="0" fontId="1" fillId="0" borderId="27" xfId="2" applyFont="1" applyBorder="1" applyAlignment="1">
      <alignment horizontal="left"/>
    </xf>
    <xf numFmtId="0" fontId="1" fillId="0" borderId="28" xfId="2" applyFont="1" applyBorder="1"/>
    <xf numFmtId="0" fontId="1" fillId="0" borderId="29" xfId="2" applyFont="1" applyBorder="1"/>
    <xf numFmtId="0" fontId="1" fillId="0" borderId="23" xfId="2" applyFont="1" applyBorder="1"/>
    <xf numFmtId="0" fontId="1" fillId="0" borderId="44" xfId="2" applyFont="1" applyBorder="1"/>
    <xf numFmtId="0" fontId="1" fillId="0" borderId="44" xfId="2" applyFont="1" applyBorder="1" applyAlignment="1">
      <alignment horizontal="center"/>
    </xf>
    <xf numFmtId="8" fontId="1" fillId="0" borderId="44" xfId="2" applyNumberFormat="1" applyFont="1" applyBorder="1"/>
    <xf numFmtId="8" fontId="1" fillId="0" borderId="47" xfId="2" applyNumberFormat="1" applyFont="1" applyBorder="1"/>
    <xf numFmtId="39" fontId="4" fillId="0" borderId="0" xfId="2" applyNumberFormat="1" applyFont="1" applyAlignment="1">
      <alignment horizontal="right"/>
    </xf>
    <xf numFmtId="8" fontId="4" fillId="0" borderId="11" xfId="2" applyNumberFormat="1" applyFont="1" applyBorder="1"/>
    <xf numFmtId="8" fontId="1" fillId="0" borderId="7" xfId="2" applyNumberFormat="1" applyFont="1" applyBorder="1"/>
    <xf numFmtId="8" fontId="4" fillId="0" borderId="7" xfId="2" applyNumberFormat="1" applyFont="1" applyBorder="1"/>
    <xf numFmtId="8" fontId="4" fillId="0" borderId="18" xfId="2" applyNumberFormat="1" applyFont="1" applyBorder="1"/>
    <xf numFmtId="0" fontId="14" fillId="0" borderId="1" xfId="2" applyFont="1" applyBorder="1"/>
    <xf numFmtId="0" fontId="4" fillId="0" borderId="3" xfId="2" applyFont="1" applyBorder="1" applyAlignment="1" applyProtection="1">
      <alignment horizontal="center"/>
      <protection locked="0"/>
    </xf>
    <xf numFmtId="0" fontId="4" fillId="0" borderId="0" xfId="2" applyFont="1" applyProtection="1">
      <protection locked="0"/>
    </xf>
    <xf numFmtId="0" fontId="4" fillId="0" borderId="0" xfId="2" applyFont="1" applyAlignment="1">
      <alignment horizontal="right"/>
    </xf>
    <xf numFmtId="2" fontId="4" fillId="0" borderId="0" xfId="2" applyNumberFormat="1" applyFont="1"/>
    <xf numFmtId="164" fontId="4" fillId="0" borderId="1" xfId="2" applyNumberFormat="1" applyFont="1" applyBorder="1"/>
    <xf numFmtId="0" fontId="4" fillId="0" borderId="13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/>
    </xf>
    <xf numFmtId="0" fontId="30" fillId="2" borderId="13" xfId="0" applyFont="1" applyFill="1" applyBorder="1" applyAlignment="1">
      <alignment horizontal="center"/>
    </xf>
    <xf numFmtId="164" fontId="1" fillId="0" borderId="0" xfId="2" applyNumberFormat="1" applyFont="1" applyAlignment="1">
      <alignment horizontal="center"/>
    </xf>
    <xf numFmtId="0" fontId="1" fillId="3" borderId="0" xfId="2" applyFont="1" applyFill="1" applyProtection="1">
      <protection locked="0"/>
    </xf>
    <xf numFmtId="0" fontId="1" fillId="3" borderId="0" xfId="2" applyFont="1" applyFill="1" applyAlignment="1" applyProtection="1">
      <alignment horizontal="right"/>
      <protection locked="0"/>
    </xf>
    <xf numFmtId="164" fontId="1" fillId="3" borderId="0" xfId="2" applyNumberFormat="1" applyFont="1" applyFill="1" applyProtection="1">
      <protection locked="0"/>
    </xf>
    <xf numFmtId="0" fontId="4" fillId="3" borderId="0" xfId="2" applyFont="1" applyFill="1" applyAlignment="1" applyProtection="1">
      <alignment horizontal="right"/>
      <protection locked="0"/>
    </xf>
    <xf numFmtId="0" fontId="4" fillId="3" borderId="0" xfId="2" applyFont="1" applyFill="1" applyProtection="1">
      <protection locked="0"/>
    </xf>
    <xf numFmtId="164" fontId="4" fillId="3" borderId="0" xfId="2" applyNumberFormat="1" applyFont="1" applyFill="1" applyProtection="1">
      <protection locked="0"/>
    </xf>
    <xf numFmtId="0" fontId="1" fillId="0" borderId="42" xfId="0" applyFont="1" applyBorder="1"/>
    <xf numFmtId="0" fontId="14" fillId="0" borderId="0" xfId="2" applyFont="1" applyAlignment="1">
      <alignment horizontal="center"/>
    </xf>
    <xf numFmtId="164" fontId="0" fillId="0" borderId="0" xfId="0" applyNumberFormat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9" fontId="0" fillId="0" borderId="0" xfId="0" applyNumberFormat="1" applyAlignment="1">
      <alignment horizontal="center"/>
    </xf>
    <xf numFmtId="0" fontId="1" fillId="0" borderId="0" xfId="2" applyFont="1" applyAlignment="1">
      <alignment horizontal="centerContinuous"/>
    </xf>
    <xf numFmtId="0" fontId="1" fillId="0" borderId="18" xfId="0" applyFont="1" applyBorder="1"/>
    <xf numFmtId="0" fontId="4" fillId="4" borderId="8" xfId="0" applyFont="1" applyFill="1" applyBorder="1" applyAlignment="1">
      <alignment horizontal="centerContinuous"/>
    </xf>
    <xf numFmtId="0" fontId="4" fillId="4" borderId="20" xfId="0" applyFont="1" applyFill="1" applyBorder="1" applyAlignment="1">
      <alignment horizontal="centerContinuous"/>
    </xf>
    <xf numFmtId="0" fontId="31" fillId="4" borderId="19" xfId="0" applyFont="1" applyFill="1" applyBorder="1" applyAlignment="1">
      <alignment horizontal="centerContinuous"/>
    </xf>
    <xf numFmtId="40" fontId="1" fillId="0" borderId="4" xfId="0" applyNumberFormat="1" applyFont="1" applyBorder="1" applyAlignment="1">
      <alignment horizontal="right"/>
    </xf>
    <xf numFmtId="40" fontId="1" fillId="0" borderId="5" xfId="2" applyNumberFormat="1" applyFont="1" applyBorder="1"/>
    <xf numFmtId="40" fontId="1" fillId="0" borderId="6" xfId="0" applyNumberFormat="1" applyFont="1" applyBorder="1" applyAlignment="1">
      <alignment horizontal="right"/>
    </xf>
    <xf numFmtId="40" fontId="1" fillId="0" borderId="0" xfId="2" applyNumberFormat="1" applyFont="1"/>
    <xf numFmtId="40" fontId="1" fillId="0" borderId="0" xfId="2" applyNumberFormat="1" applyFont="1" applyProtection="1">
      <protection locked="0"/>
    </xf>
    <xf numFmtId="40" fontId="1" fillId="0" borderId="45" xfId="2" applyNumberFormat="1" applyFont="1" applyBorder="1"/>
    <xf numFmtId="40" fontId="1" fillId="0" borderId="44" xfId="2" applyNumberFormat="1" applyFont="1" applyBorder="1" applyProtection="1">
      <protection locked="0"/>
    </xf>
    <xf numFmtId="40" fontId="1" fillId="0" borderId="46" xfId="2" applyNumberFormat="1" applyFont="1" applyBorder="1"/>
    <xf numFmtId="8" fontId="1" fillId="0" borderId="0" xfId="0" applyNumberFormat="1" applyFont="1"/>
    <xf numFmtId="8" fontId="1" fillId="0" borderId="0" xfId="0" applyNumberFormat="1" applyFont="1" applyAlignment="1">
      <alignment horizontal="center"/>
    </xf>
    <xf numFmtId="8" fontId="16" fillId="0" borderId="0" xfId="0" applyNumberFormat="1" applyFont="1" applyAlignment="1">
      <alignment horizontal="center"/>
    </xf>
    <xf numFmtId="8" fontId="1" fillId="0" borderId="3" xfId="0" applyNumberFormat="1" applyFont="1" applyBorder="1"/>
    <xf numFmtId="8" fontId="4" fillId="0" borderId="13" xfId="0" applyNumberFormat="1" applyFont="1" applyBorder="1"/>
    <xf numFmtId="8" fontId="1" fillId="0" borderId="16" xfId="0" applyNumberFormat="1" applyFont="1" applyBorder="1" applyAlignment="1">
      <alignment horizontal="right"/>
    </xf>
    <xf numFmtId="8" fontId="1" fillId="0" borderId="10" xfId="2" applyNumberFormat="1" applyFont="1" applyBorder="1"/>
    <xf numFmtId="8" fontId="1" fillId="0" borderId="24" xfId="2" applyNumberFormat="1" applyFont="1" applyBorder="1"/>
    <xf numFmtId="8" fontId="1" fillId="0" borderId="24" xfId="2" applyNumberFormat="1" applyFont="1" applyBorder="1" applyAlignment="1">
      <alignment horizontal="center"/>
    </xf>
    <xf numFmtId="8" fontId="4" fillId="0" borderId="10" xfId="2" applyNumberFormat="1" applyFont="1" applyBorder="1" applyAlignment="1">
      <alignment horizontal="center"/>
    </xf>
    <xf numFmtId="8" fontId="1" fillId="0" borderId="10" xfId="2" applyNumberFormat="1" applyFont="1" applyBorder="1" applyAlignment="1">
      <alignment horizontal="center"/>
    </xf>
    <xf numFmtId="8" fontId="1" fillId="0" borderId="10" xfId="2" applyNumberFormat="1" applyFont="1" applyBorder="1" applyAlignment="1">
      <alignment horizontal="centerContinuous"/>
    </xf>
    <xf numFmtId="8" fontId="1" fillId="0" borderId="26" xfId="2" applyNumberFormat="1" applyFont="1" applyBorder="1"/>
    <xf numFmtId="8" fontId="1" fillId="0" borderId="18" xfId="2" applyNumberFormat="1" applyFont="1" applyBorder="1" applyProtection="1">
      <protection locked="0"/>
    </xf>
    <xf numFmtId="8" fontId="1" fillId="0" borderId="9" xfId="2" applyNumberFormat="1" applyFont="1" applyBorder="1" applyAlignment="1" applyProtection="1">
      <alignment horizontal="center"/>
      <protection locked="0"/>
    </xf>
    <xf numFmtId="8" fontId="4" fillId="0" borderId="18" xfId="2" applyNumberFormat="1" applyFont="1" applyBorder="1" applyAlignment="1" applyProtection="1">
      <alignment horizontal="center"/>
      <protection locked="0"/>
    </xf>
    <xf numFmtId="0" fontId="28" fillId="0" borderId="36" xfId="0" applyFont="1" applyBorder="1" applyAlignment="1">
      <alignment horizontal="right"/>
    </xf>
    <xf numFmtId="0" fontId="26" fillId="0" borderId="0" xfId="0" applyFont="1" applyAlignment="1">
      <alignment horizontal="right"/>
    </xf>
    <xf numFmtId="49" fontId="4" fillId="0" borderId="13" xfId="0" applyNumberFormat="1" applyFon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25" fillId="0" borderId="0" xfId="0" applyNumberFormat="1" applyFont="1"/>
    <xf numFmtId="49" fontId="1" fillId="0" borderId="0" xfId="0" applyNumberFormat="1" applyFont="1"/>
    <xf numFmtId="49" fontId="4" fillId="0" borderId="16" xfId="2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/>
    </xf>
    <xf numFmtId="49" fontId="1" fillId="0" borderId="43" xfId="2" applyNumberFormat="1" applyFont="1" applyBorder="1"/>
    <xf numFmtId="49" fontId="1" fillId="0" borderId="0" xfId="2" applyNumberFormat="1" applyFont="1"/>
    <xf numFmtId="49" fontId="14" fillId="0" borderId="1" xfId="2" applyNumberFormat="1" applyFont="1" applyBorder="1"/>
    <xf numFmtId="49" fontId="1" fillId="0" borderId="0" xfId="2" applyNumberFormat="1" applyFont="1" applyProtection="1">
      <protection locked="0"/>
    </xf>
    <xf numFmtId="49" fontId="25" fillId="0" borderId="0" xfId="2" applyNumberFormat="1" applyFont="1" applyProtection="1">
      <protection locked="0"/>
    </xf>
    <xf numFmtId="0" fontId="4" fillId="0" borderId="36" xfId="0" applyFont="1" applyBorder="1"/>
    <xf numFmtId="0" fontId="30" fillId="0" borderId="3" xfId="0" applyFont="1" applyBorder="1"/>
    <xf numFmtId="0" fontId="0" fillId="0" borderId="3" xfId="0" applyBorder="1" applyAlignment="1">
      <alignment horizontal="center"/>
    </xf>
    <xf numFmtId="2" fontId="0" fillId="0" borderId="3" xfId="0" applyNumberFormat="1" applyBorder="1"/>
    <xf numFmtId="2" fontId="1" fillId="0" borderId="3" xfId="0" applyNumberFormat="1" applyFont="1" applyBorder="1"/>
    <xf numFmtId="164" fontId="1" fillId="0" borderId="0" xfId="0" applyNumberFormat="1" applyFont="1"/>
    <xf numFmtId="0" fontId="0" fillId="5" borderId="3" xfId="0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right"/>
    </xf>
    <xf numFmtId="2" fontId="0" fillId="5" borderId="3" xfId="0" applyNumberFormat="1" applyFill="1" applyBorder="1"/>
    <xf numFmtId="164" fontId="23" fillId="5" borderId="3" xfId="0" applyNumberFormat="1" applyFont="1" applyFill="1" applyBorder="1" applyAlignment="1">
      <alignment horizontal="right"/>
    </xf>
    <xf numFmtId="164" fontId="1" fillId="5" borderId="3" xfId="0" applyNumberFormat="1" applyFont="1" applyFill="1" applyBorder="1" applyAlignment="1">
      <alignment horizontal="right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/>
    </xf>
    <xf numFmtId="2" fontId="0" fillId="6" borderId="3" xfId="0" applyNumberFormat="1" applyFill="1" applyBorder="1"/>
    <xf numFmtId="164" fontId="23" fillId="6" borderId="3" xfId="0" applyNumberFormat="1" applyFont="1" applyFill="1" applyBorder="1" applyAlignment="1">
      <alignment horizontal="right"/>
    </xf>
    <xf numFmtId="164" fontId="1" fillId="6" borderId="3" xfId="0" applyNumberFormat="1" applyFont="1" applyFill="1" applyBorder="1" applyAlignment="1">
      <alignment horizontal="right"/>
    </xf>
    <xf numFmtId="0" fontId="1" fillId="0" borderId="38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49" fontId="0" fillId="0" borderId="3" xfId="0" applyNumberFormat="1" applyBorder="1" applyAlignment="1">
      <alignment horizontal="center"/>
    </xf>
    <xf numFmtId="49" fontId="0" fillId="5" borderId="3" xfId="0" applyNumberFormat="1" applyFill="1" applyBorder="1" applyAlignment="1">
      <alignment horizontal="center"/>
    </xf>
    <xf numFmtId="49" fontId="0" fillId="6" borderId="3" xfId="0" applyNumberFormat="1" applyFill="1" applyBorder="1" applyAlignment="1">
      <alignment horizontal="center"/>
    </xf>
    <xf numFmtId="49" fontId="1" fillId="6" borderId="3" xfId="0" applyNumberFormat="1" applyFont="1" applyFill="1" applyBorder="1" applyAlignment="1">
      <alignment horizontal="center"/>
    </xf>
    <xf numFmtId="49" fontId="1" fillId="5" borderId="3" xfId="0" applyNumberFormat="1" applyFont="1" applyFill="1" applyBorder="1" applyAlignment="1">
      <alignment horizontal="center"/>
    </xf>
    <xf numFmtId="49" fontId="1" fillId="7" borderId="22" xfId="0" applyNumberFormat="1" applyFont="1" applyFill="1" applyBorder="1" applyAlignment="1">
      <alignment horizontal="center"/>
    </xf>
    <xf numFmtId="0" fontId="1" fillId="7" borderId="0" xfId="0" applyFont="1" applyFill="1"/>
    <xf numFmtId="0" fontId="1" fillId="7" borderId="0" xfId="2" applyFont="1" applyFill="1"/>
    <xf numFmtId="0" fontId="1" fillId="7" borderId="0" xfId="0" applyFont="1" applyFill="1" applyAlignment="1">
      <alignment horizontal="center"/>
    </xf>
    <xf numFmtId="8" fontId="1" fillId="7" borderId="0" xfId="0" applyNumberFormat="1" applyFont="1" applyFill="1"/>
    <xf numFmtId="40" fontId="1" fillId="7" borderId="6" xfId="0" applyNumberFormat="1" applyFont="1" applyFill="1" applyBorder="1" applyAlignment="1">
      <alignment horizontal="right"/>
    </xf>
    <xf numFmtId="40" fontId="1" fillId="7" borderId="0" xfId="2" applyNumberFormat="1" applyFont="1" applyFill="1"/>
    <xf numFmtId="40" fontId="1" fillId="7" borderId="10" xfId="2" applyNumberFormat="1" applyFont="1" applyFill="1" applyBorder="1"/>
    <xf numFmtId="8" fontId="1" fillId="7" borderId="0" xfId="2" applyNumberFormat="1" applyFont="1" applyFill="1"/>
    <xf numFmtId="40" fontId="1" fillId="7" borderId="0" xfId="2" applyNumberFormat="1" applyFont="1" applyFill="1" applyProtection="1">
      <protection locked="0"/>
    </xf>
    <xf numFmtId="0" fontId="1" fillId="7" borderId="6" xfId="0" applyFont="1" applyFill="1" applyBorder="1"/>
    <xf numFmtId="0" fontId="1" fillId="5" borderId="0" xfId="0" applyFont="1" applyFill="1"/>
    <xf numFmtId="0" fontId="1" fillId="5" borderId="0" xfId="2" applyFont="1" applyFill="1"/>
    <xf numFmtId="0" fontId="1" fillId="5" borderId="0" xfId="0" applyFont="1" applyFill="1" applyAlignment="1">
      <alignment horizontal="center"/>
    </xf>
    <xf numFmtId="8" fontId="1" fillId="5" borderId="0" xfId="0" applyNumberFormat="1" applyFont="1" applyFill="1"/>
    <xf numFmtId="40" fontId="1" fillId="5" borderId="6" xfId="0" applyNumberFormat="1" applyFont="1" applyFill="1" applyBorder="1" applyAlignment="1">
      <alignment horizontal="right"/>
    </xf>
    <xf numFmtId="40" fontId="1" fillId="5" borderId="0" xfId="2" applyNumberFormat="1" applyFont="1" applyFill="1" applyProtection="1">
      <protection locked="0"/>
    </xf>
    <xf numFmtId="40" fontId="1" fillId="5" borderId="10" xfId="2" applyNumberFormat="1" applyFont="1" applyFill="1" applyBorder="1"/>
    <xf numFmtId="8" fontId="1" fillId="5" borderId="0" xfId="2" applyNumberFormat="1" applyFont="1" applyFill="1"/>
    <xf numFmtId="0" fontId="1" fillId="5" borderId="6" xfId="0" applyFont="1" applyFill="1" applyBorder="1"/>
    <xf numFmtId="49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right"/>
    </xf>
    <xf numFmtId="2" fontId="0" fillId="8" borderId="3" xfId="0" applyNumberFormat="1" applyFill="1" applyBorder="1"/>
    <xf numFmtId="164" fontId="23" fillId="8" borderId="3" xfId="0" applyNumberFormat="1" applyFont="1" applyFill="1" applyBorder="1" applyAlignment="1">
      <alignment horizontal="right"/>
    </xf>
    <xf numFmtId="164" fontId="1" fillId="8" borderId="3" xfId="0" applyNumberFormat="1" applyFont="1" applyFill="1" applyBorder="1" applyAlignment="1">
      <alignment horizontal="right"/>
    </xf>
    <xf numFmtId="0" fontId="0" fillId="5" borderId="3" xfId="0" applyFill="1" applyBorder="1"/>
    <xf numFmtId="49" fontId="1" fillId="9" borderId="3" xfId="0" applyNumberFormat="1" applyFont="1" applyFill="1" applyBorder="1" applyAlignment="1">
      <alignment horizontal="center"/>
    </xf>
    <xf numFmtId="0" fontId="0" fillId="9" borderId="3" xfId="0" applyFill="1" applyBorder="1"/>
    <xf numFmtId="0" fontId="0" fillId="9" borderId="3" xfId="0" applyFill="1" applyBorder="1" applyAlignment="1">
      <alignment horizontal="center"/>
    </xf>
    <xf numFmtId="0" fontId="1" fillId="9" borderId="3" xfId="0" applyFont="1" applyFill="1" applyBorder="1" applyAlignment="1">
      <alignment horizontal="right"/>
    </xf>
    <xf numFmtId="2" fontId="0" fillId="9" borderId="3" xfId="0" applyNumberFormat="1" applyFill="1" applyBorder="1"/>
    <xf numFmtId="164" fontId="23" fillId="9" borderId="3" xfId="0" applyNumberFormat="1" applyFont="1" applyFill="1" applyBorder="1" applyAlignment="1">
      <alignment horizontal="right"/>
    </xf>
    <xf numFmtId="0" fontId="1" fillId="9" borderId="3" xfId="0" applyFont="1" applyFill="1" applyBorder="1"/>
    <xf numFmtId="164" fontId="1" fillId="9" borderId="3" xfId="0" applyNumberFormat="1" applyFont="1" applyFill="1" applyBorder="1" applyAlignment="1">
      <alignment horizontal="right"/>
    </xf>
    <xf numFmtId="0" fontId="1" fillId="9" borderId="3" xfId="0" applyFont="1" applyFill="1" applyBorder="1" applyAlignment="1">
      <alignment horizontal="center"/>
    </xf>
    <xf numFmtId="0" fontId="1" fillId="9" borderId="0" xfId="0" applyFont="1" applyFill="1"/>
    <xf numFmtId="49" fontId="1" fillId="4" borderId="3" xfId="0" applyNumberFormat="1" applyFont="1" applyFill="1" applyBorder="1" applyAlignment="1">
      <alignment horizontal="center"/>
    </xf>
    <xf numFmtId="0" fontId="1" fillId="4" borderId="0" xfId="0" applyFont="1" applyFill="1"/>
    <xf numFmtId="0" fontId="1" fillId="4" borderId="0" xfId="2" applyFont="1" applyFill="1"/>
    <xf numFmtId="0" fontId="1" fillId="4" borderId="0" xfId="0" applyFont="1" applyFill="1" applyAlignment="1">
      <alignment horizontal="center"/>
    </xf>
    <xf numFmtId="8" fontId="1" fillId="4" borderId="0" xfId="0" applyNumberFormat="1" applyFont="1" applyFill="1"/>
    <xf numFmtId="40" fontId="1" fillId="4" borderId="6" xfId="0" applyNumberFormat="1" applyFont="1" applyFill="1" applyBorder="1" applyAlignment="1">
      <alignment horizontal="right"/>
    </xf>
    <xf numFmtId="40" fontId="1" fillId="4" borderId="0" xfId="2" applyNumberFormat="1" applyFont="1" applyFill="1" applyProtection="1">
      <protection locked="0"/>
    </xf>
    <xf numFmtId="40" fontId="1" fillId="4" borderId="10" xfId="2" applyNumberFormat="1" applyFont="1" applyFill="1" applyBorder="1"/>
    <xf numFmtId="8" fontId="1" fillId="4" borderId="0" xfId="2" applyNumberFormat="1" applyFont="1" applyFill="1"/>
    <xf numFmtId="49" fontId="1" fillId="5" borderId="22" xfId="0" applyNumberFormat="1" applyFont="1" applyFill="1" applyBorder="1" applyAlignment="1">
      <alignment horizontal="center"/>
    </xf>
    <xf numFmtId="40" fontId="1" fillId="5" borderId="0" xfId="2" applyNumberFormat="1" applyFont="1" applyFill="1"/>
    <xf numFmtId="0" fontId="1" fillId="9" borderId="0" xfId="2" applyFont="1" applyFill="1"/>
    <xf numFmtId="0" fontId="1" fillId="9" borderId="0" xfId="0" applyFont="1" applyFill="1" applyAlignment="1">
      <alignment horizontal="center"/>
    </xf>
    <xf numFmtId="8" fontId="1" fillId="9" borderId="0" xfId="0" applyNumberFormat="1" applyFont="1" applyFill="1"/>
    <xf numFmtId="40" fontId="1" fillId="9" borderId="6" xfId="0" applyNumberFormat="1" applyFont="1" applyFill="1" applyBorder="1" applyAlignment="1">
      <alignment horizontal="right"/>
    </xf>
    <xf numFmtId="40" fontId="1" fillId="9" borderId="0" xfId="2" applyNumberFormat="1" applyFont="1" applyFill="1" applyProtection="1">
      <protection locked="0"/>
    </xf>
    <xf numFmtId="40" fontId="1" fillId="9" borderId="10" xfId="2" applyNumberFormat="1" applyFont="1" applyFill="1" applyBorder="1"/>
    <xf numFmtId="8" fontId="1" fillId="9" borderId="0" xfId="2" applyNumberFormat="1" applyFont="1" applyFill="1"/>
    <xf numFmtId="0" fontId="0" fillId="9" borderId="0" xfId="0" applyFill="1"/>
    <xf numFmtId="0" fontId="0" fillId="7" borderId="0" xfId="0" applyFill="1"/>
    <xf numFmtId="0" fontId="0" fillId="5" borderId="0" xfId="0" applyFill="1"/>
    <xf numFmtId="164" fontId="0" fillId="0" borderId="0" xfId="0" applyNumberFormat="1" applyAlignment="1">
      <alignment horizontal="left"/>
    </xf>
    <xf numFmtId="0" fontId="1" fillId="0" borderId="59" xfId="2" applyFont="1" applyBorder="1" applyAlignment="1">
      <alignment horizontal="left"/>
    </xf>
    <xf numFmtId="8" fontId="1" fillId="0" borderId="60" xfId="2" applyNumberFormat="1" applyFont="1" applyBorder="1"/>
    <xf numFmtId="2" fontId="4" fillId="0" borderId="4" xfId="2" applyNumberFormat="1" applyFont="1" applyBorder="1" applyAlignment="1">
      <alignment horizontal="center"/>
    </xf>
    <xf numFmtId="0" fontId="4" fillId="0" borderId="9" xfId="2" applyFont="1" applyBorder="1" applyAlignment="1">
      <alignment horizontal="center"/>
    </xf>
    <xf numFmtId="164" fontId="1" fillId="0" borderId="60" xfId="3" applyNumberFormat="1" applyFont="1" applyBorder="1" applyProtection="1">
      <protection locked="0"/>
    </xf>
    <xf numFmtId="164" fontId="1" fillId="0" borderId="0" xfId="2" applyNumberFormat="1" applyFont="1" applyProtection="1">
      <protection locked="0"/>
    </xf>
    <xf numFmtId="8" fontId="1" fillId="0" borderId="0" xfId="2" applyNumberFormat="1" applyFont="1" applyProtection="1">
      <protection locked="0"/>
    </xf>
    <xf numFmtId="0" fontId="32" fillId="0" borderId="0" xfId="0" applyFont="1" applyAlignment="1">
      <alignment vertical="center" wrapText="1"/>
    </xf>
    <xf numFmtId="49" fontId="0" fillId="0" borderId="22" xfId="0" applyNumberFormat="1" applyBorder="1" applyAlignment="1">
      <alignment horizontal="center"/>
    </xf>
    <xf numFmtId="49" fontId="1" fillId="4" borderId="22" xfId="0" applyNumberFormat="1" applyFont="1" applyFill="1" applyBorder="1" applyAlignment="1">
      <alignment horizontal="center"/>
    </xf>
    <xf numFmtId="49" fontId="1" fillId="9" borderId="22" xfId="0" applyNumberFormat="1" applyFont="1" applyFill="1" applyBorder="1" applyAlignment="1">
      <alignment horizontal="center"/>
    </xf>
    <xf numFmtId="43" fontId="1" fillId="0" borderId="11" xfId="1" applyFont="1" applyBorder="1" applyAlignment="1">
      <alignment horizontal="right"/>
    </xf>
    <xf numFmtId="0" fontId="1" fillId="0" borderId="27" xfId="2" applyFont="1" applyBorder="1"/>
    <xf numFmtId="8" fontId="1" fillId="0" borderId="20" xfId="2" applyNumberFormat="1" applyFont="1" applyBorder="1" applyAlignment="1" applyProtection="1">
      <alignment horizontal="center"/>
      <protection locked="0"/>
    </xf>
    <xf numFmtId="0" fontId="1" fillId="0" borderId="7" xfId="0" applyFont="1" applyBorder="1"/>
    <xf numFmtId="0" fontId="9" fillId="0" borderId="30" xfId="0" applyFont="1" applyBorder="1" applyAlignment="1">
      <alignment horizontal="left"/>
    </xf>
    <xf numFmtId="0" fontId="9" fillId="0" borderId="31" xfId="0" applyFont="1" applyBorder="1" applyAlignment="1">
      <alignment horizontal="left"/>
    </xf>
    <xf numFmtId="0" fontId="2" fillId="0" borderId="32" xfId="0" applyFont="1" applyBorder="1" applyAlignment="1">
      <alignment horizontal="center" vertical="top"/>
    </xf>
    <xf numFmtId="0" fontId="2" fillId="0" borderId="33" xfId="0" applyFont="1" applyBorder="1" applyAlignment="1">
      <alignment horizontal="center" vertical="top"/>
    </xf>
    <xf numFmtId="0" fontId="1" fillId="0" borderId="30" xfId="0" applyFont="1" applyBorder="1"/>
    <xf numFmtId="0" fontId="1" fillId="0" borderId="31" xfId="0" applyFont="1" applyBorder="1"/>
    <xf numFmtId="0" fontId="2" fillId="0" borderId="34" xfId="0" applyFont="1" applyBorder="1" applyAlignment="1">
      <alignment horizontal="center" vertical="top"/>
    </xf>
    <xf numFmtId="0" fontId="2" fillId="0" borderId="35" xfId="0" applyFont="1" applyBorder="1" applyAlignment="1">
      <alignment horizontal="center" vertical="top"/>
    </xf>
    <xf numFmtId="0" fontId="14" fillId="0" borderId="0" xfId="0" applyFont="1" applyAlignment="1">
      <alignment horizontal="fill" vertical="center" wrapText="1"/>
    </xf>
    <xf numFmtId="0" fontId="14" fillId="0" borderId="0" xfId="0" applyFont="1" applyAlignment="1">
      <alignment horizontal="fill" vertical="center"/>
    </xf>
    <xf numFmtId="0" fontId="2" fillId="0" borderId="0" xfId="0" applyFont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0" fontId="1" fillId="0" borderId="9" xfId="0" applyFont="1" applyBorder="1"/>
    <xf numFmtId="0" fontId="7" fillId="0" borderId="1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3" fillId="0" borderId="4" xfId="0" applyFont="1" applyBorder="1"/>
    <xf numFmtId="0" fontId="3" fillId="0" borderId="9" xfId="0" applyFont="1" applyBorder="1"/>
  </cellXfs>
  <cellStyles count="8">
    <cellStyle name="Comma" xfId="1" builtinId="3"/>
    <cellStyle name="Currency" xfId="3" builtinId="4"/>
    <cellStyle name="Currency 2" xfId="6" xr:uid="{00000000-0005-0000-0000-000002000000}"/>
    <cellStyle name="Normal" xfId="0" builtinId="0"/>
    <cellStyle name="Normal 2" xfId="5" xr:uid="{00000000-0005-0000-0000-000004000000}"/>
    <cellStyle name="Normal_prgpay" xfId="2" xr:uid="{00000000-0005-0000-0000-000005000000}"/>
    <cellStyle name="Percent" xfId="4" builtinId="5"/>
    <cellStyle name="Percent 2" xfId="7" xr:uid="{00000000-0005-0000-0000-000007000000}"/>
  </cellStyles>
  <dxfs count="40"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font>
        <color theme="0"/>
      </font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100</xdr:row>
      <xdr:rowOff>19050</xdr:rowOff>
    </xdr:from>
    <xdr:to>
      <xdr:col>6</xdr:col>
      <xdr:colOff>19050</xdr:colOff>
      <xdr:row>121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0BFEA0F-3AF4-496D-B4DE-4614C23D405F}"/>
            </a:ext>
          </a:extLst>
        </xdr:cNvPr>
        <xdr:cNvCxnSpPr/>
      </xdr:nvCxnSpPr>
      <xdr:spPr bwMode="auto">
        <a:xfrm>
          <a:off x="10658475" y="18030825"/>
          <a:ext cx="1676400" cy="340995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</xdr:colOff>
      <xdr:row>100</xdr:row>
      <xdr:rowOff>19050</xdr:rowOff>
    </xdr:from>
    <xdr:to>
      <xdr:col>5</xdr:col>
      <xdr:colOff>828675</xdr:colOff>
      <xdr:row>120</xdr:row>
      <xdr:rowOff>152400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E23EF05-8A07-4B52-90F7-DAC3D3345048}"/>
            </a:ext>
          </a:extLst>
        </xdr:cNvPr>
        <xdr:cNvCxnSpPr/>
      </xdr:nvCxnSpPr>
      <xdr:spPr bwMode="auto">
        <a:xfrm flipH="1">
          <a:off x="10658475" y="18030825"/>
          <a:ext cx="1638300" cy="3390900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2</xdr:col>
      <xdr:colOff>342900</xdr:colOff>
      <xdr:row>5</xdr:row>
      <xdr:rowOff>142875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4B663A4D-5585-4D7E-B69E-AA81BB7A7D6B}"/>
            </a:ext>
          </a:extLst>
        </xdr:cNvPr>
        <xdr:cNvSpPr txBox="1">
          <a:spLocks noChangeArrowheads="1"/>
        </xdr:cNvSpPr>
      </xdr:nvSpPr>
      <xdr:spPr bwMode="auto">
        <a:xfrm>
          <a:off x="352425" y="809625"/>
          <a:ext cx="619125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>
    <xdr:from>
      <xdr:col>1</xdr:col>
      <xdr:colOff>47625</xdr:colOff>
      <xdr:row>60</xdr:row>
      <xdr:rowOff>0</xdr:rowOff>
    </xdr:from>
    <xdr:to>
      <xdr:col>2</xdr:col>
      <xdr:colOff>371475</xdr:colOff>
      <xdr:row>60</xdr:row>
      <xdr:rowOff>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20256095-2346-4E88-B297-8D6CB67F4B08}"/>
            </a:ext>
          </a:extLst>
        </xdr:cNvPr>
        <xdr:cNvSpPr txBox="1">
          <a:spLocks noChangeArrowheads="1"/>
        </xdr:cNvSpPr>
      </xdr:nvSpPr>
      <xdr:spPr bwMode="auto">
        <a:xfrm>
          <a:off x="361950" y="9925050"/>
          <a:ext cx="638175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 editAs="oneCell">
    <xdr:from>
      <xdr:col>0</xdr:col>
      <xdr:colOff>123825</xdr:colOff>
      <xdr:row>1</xdr:row>
      <xdr:rowOff>47625</xdr:rowOff>
    </xdr:from>
    <xdr:to>
      <xdr:col>2</xdr:col>
      <xdr:colOff>823236</xdr:colOff>
      <xdr:row>4</xdr:row>
      <xdr:rowOff>98202</xdr:rowOff>
    </xdr:to>
    <xdr:pic>
      <xdr:nvPicPr>
        <xdr:cNvPr id="6" name="Picture 10" descr="Black Monochrome.wmf">
          <a:extLst>
            <a:ext uri="{FF2B5EF4-FFF2-40B4-BE49-F238E27FC236}">
              <a16:creationId xmlns:a16="http://schemas.microsoft.com/office/drawing/2014/main" id="{0DCECEAA-9C68-469A-A37D-9B3E93187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09550"/>
          <a:ext cx="1394736" cy="536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830580</xdr:colOff>
          <xdr:row>0</xdr:row>
          <xdr:rowOff>76200</xdr:rowOff>
        </xdr:from>
        <xdr:to>
          <xdr:col>7</xdr:col>
          <xdr:colOff>274320</xdr:colOff>
          <xdr:row>1</xdr:row>
          <xdr:rowOff>91440</xdr:rowOff>
        </xdr:to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A42589B4-83F7-47D4-8EE4-175127718C7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PROJECT INFO'!$K$3:$P$3" spid="_x0000_s635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0" y="76200"/>
              <a:ext cx="3657600" cy="175260"/>
            </a:xfrm>
            <a:prstGeom prst="rect">
              <a:avLst/>
            </a:prstGeom>
            <a:noFill/>
            <a:effectLst>
              <a:outerShdw dist="38100" dir="2700000" algn="tl" rotWithShape="0">
                <a:prstClr val="black">
                  <a:alpha val="40000"/>
                </a:prstClr>
              </a:outerShdw>
            </a:effectLst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2</xdr:col>
      <xdr:colOff>342900</xdr:colOff>
      <xdr:row>5</xdr:row>
      <xdr:rowOff>142875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C9B1F1C2-E275-461B-BA2D-1502370070AE}"/>
            </a:ext>
          </a:extLst>
        </xdr:cNvPr>
        <xdr:cNvSpPr txBox="1">
          <a:spLocks noChangeArrowheads="1"/>
        </xdr:cNvSpPr>
      </xdr:nvSpPr>
      <xdr:spPr bwMode="auto">
        <a:xfrm>
          <a:off x="358140" y="838200"/>
          <a:ext cx="69342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>
    <xdr:from>
      <xdr:col>1</xdr:col>
      <xdr:colOff>47625</xdr:colOff>
      <xdr:row>60</xdr:row>
      <xdr:rowOff>0</xdr:rowOff>
    </xdr:from>
    <xdr:to>
      <xdr:col>2</xdr:col>
      <xdr:colOff>371475</xdr:colOff>
      <xdr:row>60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5EE7C079-449F-4851-8DB4-0259ED6F829B}"/>
            </a:ext>
          </a:extLst>
        </xdr:cNvPr>
        <xdr:cNvSpPr txBox="1">
          <a:spLocks noChangeArrowheads="1"/>
        </xdr:cNvSpPr>
      </xdr:nvSpPr>
      <xdr:spPr bwMode="auto">
        <a:xfrm>
          <a:off x="367665" y="10081260"/>
          <a:ext cx="71247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 editAs="oneCell">
    <xdr:from>
      <xdr:col>0</xdr:col>
      <xdr:colOff>123825</xdr:colOff>
      <xdr:row>1</xdr:row>
      <xdr:rowOff>47625</xdr:rowOff>
    </xdr:from>
    <xdr:to>
      <xdr:col>2</xdr:col>
      <xdr:colOff>823236</xdr:colOff>
      <xdr:row>4</xdr:row>
      <xdr:rowOff>98202</xdr:rowOff>
    </xdr:to>
    <xdr:pic>
      <xdr:nvPicPr>
        <xdr:cNvPr id="4" name="Picture 10" descr="Black Monochrome.wmf">
          <a:extLst>
            <a:ext uri="{FF2B5EF4-FFF2-40B4-BE49-F238E27FC236}">
              <a16:creationId xmlns:a16="http://schemas.microsoft.com/office/drawing/2014/main" id="{1976491C-010B-4254-96DD-A22A95819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15265"/>
          <a:ext cx="1408071" cy="553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830580</xdr:colOff>
          <xdr:row>0</xdr:row>
          <xdr:rowOff>76200</xdr:rowOff>
        </xdr:from>
        <xdr:to>
          <xdr:col>7</xdr:col>
          <xdr:colOff>274320</xdr:colOff>
          <xdr:row>1</xdr:row>
          <xdr:rowOff>91440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35686DFA-5130-4627-A5C4-824EE6A5403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PROJECT INFO'!$K$3:$P$3" spid="_x0000_s1345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0" y="76200"/>
              <a:ext cx="3657600" cy="175260"/>
            </a:xfrm>
            <a:prstGeom prst="rect">
              <a:avLst/>
            </a:prstGeom>
            <a:noFill/>
            <a:effectLst>
              <a:outerShdw dist="38100" dir="2700000" algn="tl" rotWithShape="0">
                <a:prstClr val="black">
                  <a:alpha val="40000"/>
                </a:prstClr>
              </a:outerShdw>
            </a:effectLst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2</xdr:col>
      <xdr:colOff>342900</xdr:colOff>
      <xdr:row>5</xdr:row>
      <xdr:rowOff>142875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5B259290-3B78-4C2E-9AFA-AE18B1DDF2FF}"/>
            </a:ext>
          </a:extLst>
        </xdr:cNvPr>
        <xdr:cNvSpPr txBox="1">
          <a:spLocks noChangeArrowheads="1"/>
        </xdr:cNvSpPr>
      </xdr:nvSpPr>
      <xdr:spPr bwMode="auto">
        <a:xfrm>
          <a:off x="358140" y="838200"/>
          <a:ext cx="69342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>
    <xdr:from>
      <xdr:col>1</xdr:col>
      <xdr:colOff>47625</xdr:colOff>
      <xdr:row>60</xdr:row>
      <xdr:rowOff>0</xdr:rowOff>
    </xdr:from>
    <xdr:to>
      <xdr:col>2</xdr:col>
      <xdr:colOff>371475</xdr:colOff>
      <xdr:row>60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2DB716FB-31DF-437A-A84F-23A1900035FF}"/>
            </a:ext>
          </a:extLst>
        </xdr:cNvPr>
        <xdr:cNvSpPr txBox="1">
          <a:spLocks noChangeArrowheads="1"/>
        </xdr:cNvSpPr>
      </xdr:nvSpPr>
      <xdr:spPr bwMode="auto">
        <a:xfrm>
          <a:off x="367665" y="10081260"/>
          <a:ext cx="71247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 editAs="oneCell">
    <xdr:from>
      <xdr:col>0</xdr:col>
      <xdr:colOff>123825</xdr:colOff>
      <xdr:row>1</xdr:row>
      <xdr:rowOff>47625</xdr:rowOff>
    </xdr:from>
    <xdr:to>
      <xdr:col>2</xdr:col>
      <xdr:colOff>823236</xdr:colOff>
      <xdr:row>4</xdr:row>
      <xdr:rowOff>98202</xdr:rowOff>
    </xdr:to>
    <xdr:pic>
      <xdr:nvPicPr>
        <xdr:cNvPr id="4" name="Picture 10" descr="Black Monochrome.wmf">
          <a:extLst>
            <a:ext uri="{FF2B5EF4-FFF2-40B4-BE49-F238E27FC236}">
              <a16:creationId xmlns:a16="http://schemas.microsoft.com/office/drawing/2014/main" id="{A1493B0F-079D-46E7-9C4B-52A122DB1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15265"/>
          <a:ext cx="1408071" cy="553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830580</xdr:colOff>
          <xdr:row>0</xdr:row>
          <xdr:rowOff>76200</xdr:rowOff>
        </xdr:from>
        <xdr:to>
          <xdr:col>7</xdr:col>
          <xdr:colOff>274320</xdr:colOff>
          <xdr:row>1</xdr:row>
          <xdr:rowOff>91440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C8D794FC-154B-4FCD-ACE5-5D323E5D07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PROJECT INFO'!$K$3:$P$3" spid="_x0000_s2160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0" y="76200"/>
              <a:ext cx="3657600" cy="175260"/>
            </a:xfrm>
            <a:prstGeom prst="rect">
              <a:avLst/>
            </a:prstGeom>
            <a:noFill/>
            <a:effectLst>
              <a:outerShdw dist="38100" dir="2700000" algn="tl" rotWithShape="0">
                <a:prstClr val="black">
                  <a:alpha val="40000"/>
                </a:prstClr>
              </a:outerShdw>
            </a:effectLst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2</xdr:col>
      <xdr:colOff>342900</xdr:colOff>
      <xdr:row>5</xdr:row>
      <xdr:rowOff>142875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30BCF3D9-65B1-4AD3-B0F9-69FB52C577DB}"/>
            </a:ext>
          </a:extLst>
        </xdr:cNvPr>
        <xdr:cNvSpPr txBox="1">
          <a:spLocks noChangeArrowheads="1"/>
        </xdr:cNvSpPr>
      </xdr:nvSpPr>
      <xdr:spPr bwMode="auto">
        <a:xfrm>
          <a:off x="352425" y="809625"/>
          <a:ext cx="6858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>
    <xdr:from>
      <xdr:col>1</xdr:col>
      <xdr:colOff>47625</xdr:colOff>
      <xdr:row>87</xdr:row>
      <xdr:rowOff>0</xdr:rowOff>
    </xdr:from>
    <xdr:to>
      <xdr:col>2</xdr:col>
      <xdr:colOff>371475</xdr:colOff>
      <xdr:row>87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F34FDC0E-728E-4AC1-A781-A9B94DB87AD2}"/>
            </a:ext>
          </a:extLst>
        </xdr:cNvPr>
        <xdr:cNvSpPr txBox="1">
          <a:spLocks noChangeArrowheads="1"/>
        </xdr:cNvSpPr>
      </xdr:nvSpPr>
      <xdr:spPr bwMode="auto">
        <a:xfrm>
          <a:off x="361950" y="9925050"/>
          <a:ext cx="70485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 editAs="oneCell">
    <xdr:from>
      <xdr:col>0</xdr:col>
      <xdr:colOff>123825</xdr:colOff>
      <xdr:row>1</xdr:row>
      <xdr:rowOff>47625</xdr:rowOff>
    </xdr:from>
    <xdr:to>
      <xdr:col>2</xdr:col>
      <xdr:colOff>823236</xdr:colOff>
      <xdr:row>4</xdr:row>
      <xdr:rowOff>98202</xdr:rowOff>
    </xdr:to>
    <xdr:pic>
      <xdr:nvPicPr>
        <xdr:cNvPr id="4" name="Picture 10" descr="Black Monochrome.wmf">
          <a:extLst>
            <a:ext uri="{FF2B5EF4-FFF2-40B4-BE49-F238E27FC236}">
              <a16:creationId xmlns:a16="http://schemas.microsoft.com/office/drawing/2014/main" id="{CB7CF0F2-E308-4E98-8281-1591F2489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09550"/>
          <a:ext cx="1394736" cy="536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830580</xdr:colOff>
          <xdr:row>0</xdr:row>
          <xdr:rowOff>76200</xdr:rowOff>
        </xdr:from>
        <xdr:to>
          <xdr:col>7</xdr:col>
          <xdr:colOff>274320</xdr:colOff>
          <xdr:row>1</xdr:row>
          <xdr:rowOff>91440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0D22CCC3-21A9-4431-A892-71DD02F2C6E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PROJECT INFO'!$K$3:$P$3" spid="_x0000_s3487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0" y="76200"/>
              <a:ext cx="3657600" cy="175260"/>
            </a:xfrm>
            <a:prstGeom prst="rect">
              <a:avLst/>
            </a:prstGeom>
            <a:noFill/>
            <a:effectLst>
              <a:outerShdw dist="38100" dir="2700000" algn="tl" rotWithShape="0">
                <a:prstClr val="black">
                  <a:alpha val="40000"/>
                </a:prstClr>
              </a:outerShdw>
            </a:effectLst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</xdr:row>
      <xdr:rowOff>0</xdr:rowOff>
    </xdr:from>
    <xdr:to>
      <xdr:col>2</xdr:col>
      <xdr:colOff>342900</xdr:colOff>
      <xdr:row>5</xdr:row>
      <xdr:rowOff>142875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6350B315-C84A-4927-A83B-1ED93F75C44B}"/>
            </a:ext>
          </a:extLst>
        </xdr:cNvPr>
        <xdr:cNvSpPr txBox="1">
          <a:spLocks noChangeArrowheads="1"/>
        </xdr:cNvSpPr>
      </xdr:nvSpPr>
      <xdr:spPr bwMode="auto">
        <a:xfrm>
          <a:off x="358140" y="838200"/>
          <a:ext cx="693420" cy="1428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>
    <xdr:from>
      <xdr:col>1</xdr:col>
      <xdr:colOff>47625</xdr:colOff>
      <xdr:row>60</xdr:row>
      <xdr:rowOff>0</xdr:rowOff>
    </xdr:from>
    <xdr:to>
      <xdr:col>2</xdr:col>
      <xdr:colOff>371475</xdr:colOff>
      <xdr:row>60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7025B9B8-F883-429B-B201-540021B58F57}"/>
            </a:ext>
          </a:extLst>
        </xdr:cNvPr>
        <xdr:cNvSpPr txBox="1">
          <a:spLocks noChangeArrowheads="1"/>
        </xdr:cNvSpPr>
      </xdr:nvSpPr>
      <xdr:spPr bwMode="auto">
        <a:xfrm>
          <a:off x="367665" y="10081260"/>
          <a:ext cx="712470" cy="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ahoma"/>
              <a:cs typeface="Tahoma"/>
            </a:rPr>
            <a:t>PROJECT:</a:t>
          </a:r>
        </a:p>
      </xdr:txBody>
    </xdr:sp>
    <xdr:clientData/>
  </xdr:twoCellAnchor>
  <xdr:twoCellAnchor editAs="oneCell">
    <xdr:from>
      <xdr:col>0</xdr:col>
      <xdr:colOff>123825</xdr:colOff>
      <xdr:row>1</xdr:row>
      <xdr:rowOff>47625</xdr:rowOff>
    </xdr:from>
    <xdr:to>
      <xdr:col>2</xdr:col>
      <xdr:colOff>823236</xdr:colOff>
      <xdr:row>4</xdr:row>
      <xdr:rowOff>98202</xdr:rowOff>
    </xdr:to>
    <xdr:pic>
      <xdr:nvPicPr>
        <xdr:cNvPr id="4" name="Picture 10" descr="Black Monochrome.wmf">
          <a:extLst>
            <a:ext uri="{FF2B5EF4-FFF2-40B4-BE49-F238E27FC236}">
              <a16:creationId xmlns:a16="http://schemas.microsoft.com/office/drawing/2014/main" id="{F49958F4-B907-4B68-ADFC-F23ABCC96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15265"/>
          <a:ext cx="1408071" cy="553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830580</xdr:colOff>
          <xdr:row>0</xdr:row>
          <xdr:rowOff>76200</xdr:rowOff>
        </xdr:from>
        <xdr:to>
          <xdr:col>7</xdr:col>
          <xdr:colOff>274320</xdr:colOff>
          <xdr:row>1</xdr:row>
          <xdr:rowOff>91440</xdr:rowOff>
        </xdr:to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FA655E94-44D0-4376-8D74-AE05D534ABD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PROJECT INFO'!$K$3:$P$3" spid="_x0000_s3793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524000" y="76200"/>
              <a:ext cx="3657600" cy="175260"/>
            </a:xfrm>
            <a:prstGeom prst="rect">
              <a:avLst/>
            </a:prstGeom>
            <a:noFill/>
            <a:effectLst>
              <a:outerShdw dist="38100" dir="2700000" algn="tl" rotWithShape="0">
                <a:prstClr val="black">
                  <a:alpha val="40000"/>
                </a:prstClr>
              </a:outerShdw>
            </a:effectLst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10</xdr:row>
      <xdr:rowOff>63465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38A62479-AB9E-41BD-948C-3B5B8487E507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tter, McKinlee" id="{AE6CE258-44D8-4E6C-AA80-43B3130897E1}" userId="S::McKinlee.Ritter@cityofames.org::29e93075-fd19-4c3a-a4e3-0b395dc7ce2c" providerId="AD"/>
  <person displayName="Damion Pregitzer" id="{A6B6649E-D276-48F8-9BE0-DCBA01941E72}" userId="S::Damion.Pregitzer@cityofames.org::cbdd0423-c140-4fce-b6bd-e17320ff62b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3" dT="2019-05-21T19:03:55.81" personId="{A6B6649E-D276-48F8-9BE0-DCBA01941E72}" id="{9B92139B-B025-46E9-B544-D0FC027FE33C}">
    <text>Calculates Automatically - Do Not Manually Enter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9D14254B-C2D1-46F9-8EEA-87F55411C6F1}">
    <text>Calculates Automatically - Do Not Manually Enter</text>
  </threadedComment>
  <threadedComment ref="H9" dT="2024-07-03T16:19:33.67" personId="{AE6CE258-44D8-4E6C-AA80-43B3130897E1}" id="{BB84A4BD-8408-4A60-B14A-F91B64ACF790}">
    <text>247.825</text>
  </threadedComment>
  <threadedComment ref="H10" dT="2024-07-03T16:19:50.30" personId="{AE6CE258-44D8-4E6C-AA80-43B3130897E1}" id="{08F6222C-F92D-44E2-907E-804EFE60023E}">
    <text xml:space="preserve">763.375
</text>
  </threadedComment>
  <threadedComment ref="H62" dT="2024-07-03T16:23:08.75" personId="{AE6CE258-44D8-4E6C-AA80-43B3130897E1}" id="{C5B64BD5-BCA9-404C-AB16-A71FD6911E69}">
    <text xml:space="preserve">513.567
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F3" dT="2019-05-21T19:03:55.81" personId="{A6B6649E-D276-48F8-9BE0-DCBA01941E72}" id="{A1E1D0F5-A7D9-4ADC-8A06-5BD90D414F8D}">
    <text>Calculates Automatically - Do Not Manually Enter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86D0D749-A919-4657-8DDE-71352E5090D4}">
    <text>Calculates Automatically - Do Not Manually Enter</text>
  </threadedComment>
  <threadedComment ref="H9" dT="2024-07-03T16:19:33.67" personId="{AE6CE258-44D8-4E6C-AA80-43B3130897E1}" id="{A690A70F-D74D-4772-8D27-AD7E9F073038}">
    <text>247.825</text>
  </threadedComment>
  <threadedComment ref="H10" dT="2024-07-03T16:19:50.30" personId="{AE6CE258-44D8-4E6C-AA80-43B3130897E1}" id="{83E0CBAE-80D3-4D7C-846D-AACEF13FC306}">
    <text xml:space="preserve">763.375
</text>
  </threadedComment>
  <threadedComment ref="H62" dT="2024-07-03T16:23:08.75" personId="{AE6CE258-44D8-4E6C-AA80-43B3130897E1}" id="{3D3DD473-7B91-4F41-A866-33ED6BA600A3}">
    <text xml:space="preserve">513.567
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F3" dT="2019-05-21T19:03:55.81" personId="{A6B6649E-D276-48F8-9BE0-DCBA01941E72}" id="{54C9FE97-A9A9-4529-9ACC-EA87D0868CFC}">
    <text>Calculates Automatically - Do Not Manually Enter</text>
  </threadedComment>
</ThreadedComments>
</file>

<file path=xl/threadedComments/threadedComment14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9CB0520F-BBF4-4828-8802-F46BB715F2A4}">
    <text>Calculates Automatically - Do Not Manually Enter</text>
  </threadedComment>
  <threadedComment ref="H9" dT="2024-07-03T16:19:33.67" personId="{AE6CE258-44D8-4E6C-AA80-43B3130897E1}" id="{180859A1-92B5-469D-BDAC-7A70C17122B8}">
    <text>247.825</text>
  </threadedComment>
  <threadedComment ref="H10" dT="2024-07-03T16:19:50.30" personId="{AE6CE258-44D8-4E6C-AA80-43B3130897E1}" id="{C016002D-62EF-488E-9261-4E54C2237960}">
    <text xml:space="preserve">763.375
</text>
  </threadedComment>
  <threadedComment ref="H62" dT="2024-07-03T16:23:08.75" personId="{AE6CE258-44D8-4E6C-AA80-43B3130897E1}" id="{B6107344-0FD0-4C30-B974-D904364AAE3B}">
    <text xml:space="preserve">513.567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3" dT="2019-05-21T19:03:55.81" personId="{A6B6649E-D276-48F8-9BE0-DCBA01941E72}" id="{1E3B1685-E3C5-4EB3-A815-3CDFB571F588}">
    <text>Calculates Automatically - Do Not Manually Enter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F3" dT="2019-05-21T19:03:55.81" personId="{A6B6649E-D276-48F8-9BE0-DCBA01941E72}" id="{34E4A4EF-9F17-485A-B2E3-A7E5C5310CD9}">
    <text>Calculates Automatically - Do Not Manually Enter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6A5A353C-60BF-4992-809D-C4CB40CD2A79}">
    <text>Calculates Automatically - Do Not Manually Enter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792C75D0-6906-4049-BCFC-E848B569830E}">
    <text>Calculates Automatically - Do Not Manually Enter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4BB2F2C8-39E6-47DB-AEDD-8A859BB1773D}">
    <text>Calculates Automatically - Do Not Manually Enter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9EBF19D8-F3B0-4D45-B477-CE0082F330DD}">
    <text>Calculates Automatically - Do Not Manually Enter</text>
  </threadedComment>
  <threadedComment ref="H9" dT="2024-07-03T16:19:33.67" personId="{AE6CE258-44D8-4E6C-AA80-43B3130897E1}" id="{1017B3AF-B95C-4693-AAE6-36B3A9A4D1A2}">
    <text>247.825</text>
  </threadedComment>
  <threadedComment ref="H10" dT="2024-07-03T16:19:50.30" personId="{AE6CE258-44D8-4E6C-AA80-43B3130897E1}" id="{1A96E158-59BA-455E-BA2D-9742E77D1A97}">
    <text xml:space="preserve">763.375
</text>
  </threadedComment>
  <threadedComment ref="H61" dT="2024-07-03T16:23:08.75" personId="{AE6CE258-44D8-4E6C-AA80-43B3130897E1}" id="{FD87FA52-58A8-4A41-A260-B98CE11204B5}">
    <text xml:space="preserve">513.567
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F2480A2B-CD17-4820-9508-C619C2899828}">
    <text>Calculates Automatically - Do Not Manually Enter</text>
  </threadedComment>
  <threadedComment ref="H9" dT="2024-07-03T16:19:33.67" personId="{AE6CE258-44D8-4E6C-AA80-43B3130897E1}" id="{C82FBECD-AAC6-4F69-A919-7444A3DBE887}">
    <text>247.825</text>
  </threadedComment>
  <threadedComment ref="H10" dT="2024-07-03T16:19:50.30" personId="{AE6CE258-44D8-4E6C-AA80-43B3130897E1}" id="{376FC9E7-46FA-423A-BE4D-F2B85BD6D393}">
    <text xml:space="preserve">763.375
</text>
  </threadedComment>
  <threadedComment ref="H62" dT="2024-07-03T16:23:08.75" personId="{AE6CE258-44D8-4E6C-AA80-43B3130897E1}" id="{8E3D2499-5816-40D4-A5A1-7614CE82276E}">
    <text xml:space="preserve">513.567
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G4" dT="2019-05-21T19:04:31.02" personId="{A6B6649E-D276-48F8-9BE0-DCBA01941E72}" id="{8D4221DC-62BE-40B6-882B-695EEB603F4B}">
    <text>Calculates Automatically - Do Not Manually Enter</text>
  </threadedComment>
  <threadedComment ref="H9" dT="2024-07-03T16:19:33.67" personId="{AE6CE258-44D8-4E6C-AA80-43B3130897E1}" id="{74102B3D-B74B-41D9-9D21-622907170341}">
    <text>247.825</text>
  </threadedComment>
  <threadedComment ref="H10" dT="2024-07-03T16:19:50.30" personId="{AE6CE258-44D8-4E6C-AA80-43B3130897E1}" id="{F2F20AAA-762A-4DCB-A075-83B3CCFBDD80}">
    <text xml:space="preserve">763.375
</text>
  </threadedComment>
  <threadedComment ref="H62" dT="2024-07-03T16:23:08.75" personId="{AE6CE258-44D8-4E6C-AA80-43B3130897E1}" id="{B1FBB8DB-04CB-4827-8FD1-71B7875C055E}">
    <text xml:space="preserve">513.567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Relationship Id="rId4" Type="http://schemas.microsoft.com/office/2017/10/relationships/threadedComment" Target="../threadedComments/threadedComment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Relationship Id="rId5" Type="http://schemas.microsoft.com/office/2017/10/relationships/threadedComment" Target="../threadedComments/threadedComment11.xml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Relationship Id="rId4" Type="http://schemas.microsoft.com/office/2017/10/relationships/threadedComment" Target="../threadedComments/threadedComment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Relationship Id="rId5" Type="http://schemas.microsoft.com/office/2017/10/relationships/threadedComment" Target="../threadedComments/threadedComment13.xml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Relationship Id="rId4" Type="http://schemas.microsoft.com/office/2017/10/relationships/threadedComment" Target="../threadedComments/threadedComment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27"/>
  <sheetViews>
    <sheetView tabSelected="1" zoomScaleNormal="100" workbookViewId="0">
      <selection activeCell="B55" sqref="B55:B56"/>
    </sheetView>
  </sheetViews>
  <sheetFormatPr defaultRowHeight="12.75"/>
  <cols>
    <col min="1" max="1" width="24.7109375" bestFit="1" customWidth="1"/>
    <col min="2" max="2" width="31.140625" bestFit="1" customWidth="1"/>
    <col min="3" max="3" width="6" bestFit="1" customWidth="1"/>
    <col min="4" max="4" width="17.5703125" customWidth="1"/>
    <col min="6" max="9" width="13.7109375" customWidth="1"/>
    <col min="10" max="10" width="15.5703125" bestFit="1" customWidth="1"/>
  </cols>
  <sheetData>
    <row r="1" spans="1:16">
      <c r="A1" s="27" t="s">
        <v>25</v>
      </c>
      <c r="B1" s="1" t="s">
        <v>111</v>
      </c>
    </row>
    <row r="2" spans="1:16">
      <c r="A2" s="4" t="s">
        <v>68</v>
      </c>
      <c r="B2" s="74" t="s">
        <v>123</v>
      </c>
      <c r="E2" s="27" t="s">
        <v>105</v>
      </c>
    </row>
    <row r="3" spans="1:16" ht="13.5">
      <c r="A3" s="4" t="s">
        <v>69</v>
      </c>
      <c r="B3" s="74" t="s">
        <v>124</v>
      </c>
      <c r="E3" t="str">
        <f>CONCATENATE("City of Ames ",Department," Department - ",Division," Division")</f>
        <v>City of Ames Public Works Department - Engineering Division</v>
      </c>
      <c r="K3" s="222" t="str">
        <f>UPPER(CONCATENATE("City of Ames ",Department," - ",Division," Division"))</f>
        <v>CITY OF AMES PUBLIC WORKS - ENGINEERING DIVISION</v>
      </c>
      <c r="L3" s="220"/>
      <c r="M3" s="220"/>
      <c r="N3" s="220"/>
      <c r="O3" s="220"/>
      <c r="P3" s="221"/>
    </row>
    <row r="4" spans="1:16">
      <c r="A4" s="4" t="s">
        <v>70</v>
      </c>
      <c r="B4" s="74" t="s">
        <v>128</v>
      </c>
      <c r="E4" s="27" t="s">
        <v>104</v>
      </c>
    </row>
    <row r="5" spans="1:16">
      <c r="A5" s="4" t="s">
        <v>71</v>
      </c>
      <c r="B5" s="74" t="s">
        <v>129</v>
      </c>
      <c r="E5" t="str">
        <f>CONCATENATE(Fiscal_Year," ",Program," (",Location,")")</f>
        <v>2023/24 Seal Coat Street Pavement Improvements (E 16th St; Glendale Ave)</v>
      </c>
    </row>
    <row r="6" spans="1:16">
      <c r="A6" s="4" t="s">
        <v>72</v>
      </c>
      <c r="B6" s="74" t="s">
        <v>130</v>
      </c>
    </row>
    <row r="7" spans="1:16">
      <c r="A7" s="21" t="s">
        <v>90</v>
      </c>
      <c r="B7" s="118">
        <v>45308</v>
      </c>
      <c r="D7" s="24" t="s">
        <v>110</v>
      </c>
    </row>
    <row r="8" spans="1:16">
      <c r="A8" s="21" t="s">
        <v>74</v>
      </c>
      <c r="B8" s="125">
        <f>D8</f>
        <v>1828001.36</v>
      </c>
      <c r="C8" s="23"/>
      <c r="D8" s="121">
        <f>BIDTAB!H96</f>
        <v>1828001.36</v>
      </c>
    </row>
    <row r="9" spans="1:16">
      <c r="A9" s="21" t="s">
        <v>73</v>
      </c>
      <c r="B9" s="118">
        <v>45335</v>
      </c>
      <c r="D9" s="122"/>
    </row>
    <row r="10" spans="1:16">
      <c r="A10" s="21" t="s">
        <v>89</v>
      </c>
      <c r="B10" s="119">
        <v>62893</v>
      </c>
      <c r="D10" s="122"/>
    </row>
    <row r="11" spans="1:16">
      <c r="A11" s="21" t="s">
        <v>91</v>
      </c>
      <c r="B11" s="126" t="str">
        <f>D11</f>
        <v>Manatt's Inc</v>
      </c>
      <c r="C11" s="23"/>
      <c r="D11" s="123" t="str">
        <f>BIDTAB!G2</f>
        <v>Manatt's Inc</v>
      </c>
    </row>
    <row r="12" spans="1:16">
      <c r="A12" s="21" t="s">
        <v>92</v>
      </c>
      <c r="B12" s="126" t="str">
        <f>D12</f>
        <v>2120 E 13th Street</v>
      </c>
      <c r="C12" s="23"/>
      <c r="D12" s="123" t="str">
        <f>BIDTAB!G3</f>
        <v>2120 E 13th Street</v>
      </c>
    </row>
    <row r="13" spans="1:16">
      <c r="A13" s="21" t="s">
        <v>93</v>
      </c>
      <c r="B13" s="126" t="str">
        <f>D13</f>
        <v>Ames, IA 50010</v>
      </c>
      <c r="C13" s="23"/>
      <c r="D13" s="124" t="str">
        <f>BIDTAB!G4</f>
        <v>Ames, IA 50010</v>
      </c>
      <c r="F13" s="111" t="s">
        <v>120</v>
      </c>
      <c r="G13" s="111"/>
    </row>
    <row r="14" spans="1:16">
      <c r="A14" s="76" t="s">
        <v>127</v>
      </c>
      <c r="B14" s="247"/>
      <c r="C14" s="23"/>
      <c r="D14" s="248"/>
      <c r="F14" s="111"/>
      <c r="G14" s="111"/>
    </row>
    <row r="15" spans="1:16" ht="13.5" thickBot="1">
      <c r="A15" s="76" t="s">
        <v>88</v>
      </c>
      <c r="B15" s="120" t="s">
        <v>131</v>
      </c>
      <c r="C15" s="1" t="s">
        <v>87</v>
      </c>
      <c r="D15" s="1" t="s">
        <v>75</v>
      </c>
    </row>
    <row r="16" spans="1:16">
      <c r="A16" s="77" t="s">
        <v>103</v>
      </c>
      <c r="B16" s="281" t="s">
        <v>222</v>
      </c>
      <c r="C16" s="84"/>
      <c r="D16" s="81">
        <v>1004711.76</v>
      </c>
      <c r="F16" s="209" t="str">
        <f>B16</f>
        <v>384-8101-439-7517</v>
      </c>
      <c r="G16" s="210"/>
      <c r="H16" s="210"/>
      <c r="I16" s="210"/>
      <c r="J16" s="211" t="str">
        <f>CONCATENATE("(NTE ",TEXT(D16,"$0,0.00"),")")</f>
        <v>(NTE $1,004,711.76)</v>
      </c>
    </row>
    <row r="17" spans="1:10">
      <c r="A17" s="78" t="s">
        <v>94</v>
      </c>
      <c r="B17" s="282" t="s">
        <v>223</v>
      </c>
      <c r="C17" s="85"/>
      <c r="D17" s="82">
        <v>300000</v>
      </c>
      <c r="F17" s="212" t="str">
        <f t="shared" ref="F17:F25" si="0">B17</f>
        <v>607-7704-39-7517</v>
      </c>
      <c r="J17" s="213" t="str">
        <f t="shared" ref="J17:J25" si="1">CONCATENATE("(NTE ",TEXT(D17,"$0,0.00"),")")</f>
        <v>(NTE $300,000.00)</v>
      </c>
    </row>
    <row r="18" spans="1:10">
      <c r="A18" s="78" t="s">
        <v>95</v>
      </c>
      <c r="B18" s="282" t="s">
        <v>225</v>
      </c>
      <c r="C18" s="85"/>
      <c r="D18" s="82">
        <v>360255.5</v>
      </c>
      <c r="F18" s="212" t="str">
        <f t="shared" si="0"/>
        <v>510-8461489-7514</v>
      </c>
      <c r="J18" s="213" t="str">
        <f t="shared" si="1"/>
        <v>(NTE $360,255.50)</v>
      </c>
    </row>
    <row r="19" spans="1:10">
      <c r="A19" s="78" t="s">
        <v>96</v>
      </c>
      <c r="B19" s="282" t="s">
        <v>224</v>
      </c>
      <c r="C19" s="85"/>
      <c r="D19" s="82">
        <v>163034.1</v>
      </c>
      <c r="F19" s="212" t="str">
        <f t="shared" si="0"/>
        <v>520-8542-489-7514</v>
      </c>
      <c r="J19" s="213" t="str">
        <f t="shared" si="1"/>
        <v>(NTE $163,034.10)</v>
      </c>
    </row>
    <row r="20" spans="1:10">
      <c r="A20" s="78" t="s">
        <v>97</v>
      </c>
      <c r="B20" s="79"/>
      <c r="C20" s="85"/>
      <c r="D20" s="82">
        <f t="shared" ref="D20:D25" si="2">ROUND(C20*Award_Amount,2)</f>
        <v>0</v>
      </c>
      <c r="F20" s="212">
        <f t="shared" si="0"/>
        <v>0</v>
      </c>
      <c r="J20" s="213" t="str">
        <f t="shared" si="1"/>
        <v>(NTE $00.00)</v>
      </c>
    </row>
    <row r="21" spans="1:10">
      <c r="A21" s="78" t="s">
        <v>98</v>
      </c>
      <c r="B21" s="79"/>
      <c r="C21" s="85"/>
      <c r="D21" s="82">
        <f t="shared" si="2"/>
        <v>0</v>
      </c>
      <c r="F21" s="212">
        <f t="shared" si="0"/>
        <v>0</v>
      </c>
      <c r="J21" s="213" t="str">
        <f t="shared" si="1"/>
        <v>(NTE $00.00)</v>
      </c>
    </row>
    <row r="22" spans="1:10">
      <c r="A22" s="78" t="s">
        <v>99</v>
      </c>
      <c r="B22" s="79"/>
      <c r="C22" s="85"/>
      <c r="D22" s="82">
        <f t="shared" si="2"/>
        <v>0</v>
      </c>
      <c r="F22" s="212">
        <f t="shared" si="0"/>
        <v>0</v>
      </c>
      <c r="J22" s="213" t="str">
        <f t="shared" si="1"/>
        <v>(NTE $00.00)</v>
      </c>
    </row>
    <row r="23" spans="1:10">
      <c r="A23" s="78" t="s">
        <v>100</v>
      </c>
      <c r="B23" s="79"/>
      <c r="C23" s="85"/>
      <c r="D23" s="82">
        <f t="shared" si="2"/>
        <v>0</v>
      </c>
      <c r="F23" s="212">
        <f t="shared" si="0"/>
        <v>0</v>
      </c>
      <c r="J23" s="213" t="str">
        <f t="shared" si="1"/>
        <v>(NTE $00.00)</v>
      </c>
    </row>
    <row r="24" spans="1:10">
      <c r="A24" s="78" t="s">
        <v>101</v>
      </c>
      <c r="B24" s="79"/>
      <c r="C24" s="85"/>
      <c r="D24" s="82">
        <f t="shared" si="2"/>
        <v>0</v>
      </c>
      <c r="F24" s="212">
        <f t="shared" si="0"/>
        <v>0</v>
      </c>
      <c r="J24" s="213" t="str">
        <f t="shared" si="1"/>
        <v>(NTE $00.00)</v>
      </c>
    </row>
    <row r="25" spans="1:10" ht="13.5" thickBot="1">
      <c r="A25" s="80" t="s">
        <v>102</v>
      </c>
      <c r="B25" s="206"/>
      <c r="C25" s="86"/>
      <c r="D25" s="83">
        <f t="shared" si="2"/>
        <v>0</v>
      </c>
      <c r="F25" s="214">
        <f t="shared" si="0"/>
        <v>0</v>
      </c>
      <c r="G25" s="215"/>
      <c r="H25" s="215"/>
      <c r="I25" s="215"/>
      <c r="J25" s="216" t="str">
        <f t="shared" si="1"/>
        <v>(NTE $00.00)</v>
      </c>
    </row>
    <row r="26" spans="1:10">
      <c r="B26" s="24">
        <f>COUNTA(B16:B25)</f>
        <v>4</v>
      </c>
      <c r="C26" s="88">
        <f>1-SUM(C16:C25)</f>
        <v>1</v>
      </c>
      <c r="D26" s="87">
        <f>SUM(D16:D25)</f>
        <v>1828001.36</v>
      </c>
    </row>
    <row r="27" spans="1:10">
      <c r="D27" s="87"/>
    </row>
  </sheetData>
  <conditionalFormatting sqref="F16:G25">
    <cfRule type="expression" dxfId="39" priority="4">
      <formula>NOT(ISBLANK($B16))</formula>
    </cfRule>
    <cfRule type="expression" dxfId="38" priority="6">
      <formula>ISBLANK($B16)</formula>
    </cfRule>
  </conditionalFormatting>
  <conditionalFormatting sqref="I16:I25">
    <cfRule type="expression" dxfId="37" priority="2">
      <formula>NOT(ISBLANK($B16))</formula>
    </cfRule>
  </conditionalFormatting>
  <conditionalFormatting sqref="I16:J25">
    <cfRule type="expression" dxfId="36" priority="3">
      <formula>ISBLANK($B16)</formula>
    </cfRule>
  </conditionalFormatting>
  <pageMargins left="0.25" right="0.25" top="0.25" bottom="0.25" header="0.15" footer="0.15"/>
  <pageSetup fitToHeight="0" orientation="portrait" r:id="rId1"/>
  <headerFooter>
    <oddFooter>&amp;LCC: Project Engineer, PW Mgmt. Asst., Finance, Contractor&amp;R&amp;D |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B31D7-953C-4718-A347-88F4BDA88684}">
  <sheetPr>
    <pageSetUpPr autoPageBreaks="0" fitToPage="1"/>
  </sheetPr>
  <dimension ref="A1:S151"/>
  <sheetViews>
    <sheetView showOutlineSymbols="0" zoomScale="80" zoomScaleNormal="80" zoomScaleSheetLayoutView="100" workbookViewId="0">
      <selection activeCell="H113" sqref="H113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1" width="13.7109375" style="140" customWidth="1"/>
    <col min="12" max="12" width="14.14062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5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45526</v>
      </c>
      <c r="I5" s="147"/>
      <c r="J5" s="148"/>
      <c r="L5" s="141"/>
      <c r="M5" s="141" t="s">
        <v>47</v>
      </c>
      <c r="N5" s="139"/>
      <c r="O5" s="145">
        <f>SUM(O4+O19)</f>
        <v>1833401.36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3" si="0">VLOOKUP($A8,BIDTAB,2,FALSE)</f>
        <v>#N/A</v>
      </c>
      <c r="C8" s="137"/>
      <c r="D8" s="24" t="e">
        <f t="shared" ref="D8:D73" si="1">VLOOKUP($A8,BIDTAB,3,FALSE)</f>
        <v>#N/A</v>
      </c>
      <c r="E8" s="231" t="e">
        <f t="shared" ref="E8:E73" si="2">VLOOKUP($A8,BIDTAB,7,FALSE)</f>
        <v>#N/A</v>
      </c>
      <c r="F8" s="223" t="e">
        <f t="shared" ref="F8:F73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3" si="4">IF(ISERROR(F8*E8),0,F8*E8)</f>
        <v>0</v>
      </c>
      <c r="K8" s="162">
        <f t="shared" ref="K8:K73" si="5">IF(ISERROR(G8*E8),0,G8*E8)</f>
        <v>0</v>
      </c>
      <c r="L8" s="162">
        <f t="shared" ref="L8:L73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>
        <f>L8-'PAY EST 3'!L8</f>
        <v>0</v>
      </c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>
        <v>346.95499999999998</v>
      </c>
      <c r="I9" s="167">
        <f t="shared" ref="I9:I74" si="7">IF(ISBLANK(G9),F9,F9+G9)-H9</f>
        <v>644.34500000000003</v>
      </c>
      <c r="J9" s="162">
        <f t="shared" si="4"/>
        <v>27756.399999999998</v>
      </c>
      <c r="K9" s="162">
        <f t="shared" si="5"/>
        <v>0</v>
      </c>
      <c r="L9" s="162">
        <f t="shared" si="6"/>
        <v>9714.74</v>
      </c>
      <c r="M9" s="162">
        <f t="shared" ref="M9:M74" si="8">SUM(J9:K9)-L9</f>
        <v>18041.659999999996</v>
      </c>
      <c r="N9" s="168"/>
      <c r="O9" s="169"/>
      <c r="P9" s="165"/>
      <c r="R9" s="162">
        <f>L9-'PAY EST 3'!L9</f>
        <v>9714.74</v>
      </c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>
        <v>763.375</v>
      </c>
      <c r="I10" s="167">
        <f t="shared" si="7"/>
        <v>2290.125</v>
      </c>
      <c r="J10" s="162">
        <f t="shared" si="4"/>
        <v>61070</v>
      </c>
      <c r="K10" s="162">
        <f t="shared" si="5"/>
        <v>0</v>
      </c>
      <c r="L10" s="162">
        <f t="shared" si="6"/>
        <v>15267.5</v>
      </c>
      <c r="M10" s="162">
        <f t="shared" si="8"/>
        <v>45802.5</v>
      </c>
      <c r="N10" s="170">
        <v>1</v>
      </c>
      <c r="O10" s="352">
        <v>2100</v>
      </c>
      <c r="P10" s="165"/>
      <c r="R10" s="162">
        <f>L10-'PAY EST 3'!L10</f>
        <v>15267.5</v>
      </c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>
        <v>4219.78</v>
      </c>
      <c r="I11" s="167">
        <f t="shared" si="7"/>
        <v>7770.22</v>
      </c>
      <c r="J11" s="162">
        <f t="shared" si="4"/>
        <v>38967.5</v>
      </c>
      <c r="K11" s="162">
        <f t="shared" si="5"/>
        <v>0</v>
      </c>
      <c r="L11" s="162">
        <f t="shared" si="6"/>
        <v>13714.285</v>
      </c>
      <c r="M11" s="162">
        <f t="shared" si="8"/>
        <v>25253.215</v>
      </c>
      <c r="N11" s="171">
        <v>2</v>
      </c>
      <c r="O11" s="238">
        <v>3300</v>
      </c>
      <c r="P11" s="165"/>
      <c r="R11" s="162">
        <f>L11-'PAY EST 3'!L11</f>
        <v>13714.285</v>
      </c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>
        <v>4219.78</v>
      </c>
      <c r="I12" s="167">
        <f t="shared" si="7"/>
        <v>7770.22</v>
      </c>
      <c r="J12" s="162">
        <f t="shared" si="4"/>
        <v>107910</v>
      </c>
      <c r="K12" s="162">
        <f t="shared" si="5"/>
        <v>0</v>
      </c>
      <c r="L12" s="162">
        <f t="shared" si="6"/>
        <v>37978.019999999997</v>
      </c>
      <c r="M12" s="162">
        <f t="shared" si="8"/>
        <v>69931.98000000001</v>
      </c>
      <c r="N12" s="171">
        <v>3</v>
      </c>
      <c r="O12" s="238"/>
      <c r="P12" s="165"/>
      <c r="R12" s="162">
        <f>L12-'PAY EST 3'!L12</f>
        <v>37978.019999999997</v>
      </c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  <c r="R13" s="162">
        <f>L13-'PAY EST 3'!L13</f>
        <v>0</v>
      </c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567</v>
      </c>
      <c r="I14" s="305">
        <f t="shared" si="7"/>
        <v>11</v>
      </c>
      <c r="J14" s="306">
        <f t="shared" si="4"/>
        <v>42483</v>
      </c>
      <c r="K14" s="306">
        <f t="shared" si="5"/>
        <v>0</v>
      </c>
      <c r="L14" s="306">
        <f t="shared" si="6"/>
        <v>41674.5</v>
      </c>
      <c r="M14" s="306">
        <f t="shared" si="8"/>
        <v>808.5</v>
      </c>
      <c r="N14" s="171">
        <v>5</v>
      </c>
      <c r="O14" s="238"/>
      <c r="P14" s="165"/>
      <c r="R14" s="306">
        <f>L14-'PAY EST 3'!L14</f>
        <v>22344</v>
      </c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17</v>
      </c>
      <c r="I15" s="305">
        <f t="shared" si="7"/>
        <v>-5</v>
      </c>
      <c r="J15" s="306">
        <f t="shared" si="4"/>
        <v>25200</v>
      </c>
      <c r="K15" s="306">
        <f t="shared" si="5"/>
        <v>0</v>
      </c>
      <c r="L15" s="306">
        <f t="shared" si="6"/>
        <v>35700</v>
      </c>
      <c r="M15" s="306">
        <f t="shared" si="8"/>
        <v>-10500</v>
      </c>
      <c r="N15" s="171">
        <v>6</v>
      </c>
      <c r="O15" s="238"/>
      <c r="P15" s="165"/>
      <c r="R15" s="306">
        <f>L15-'PAY EST 3'!L15</f>
        <v>14700</v>
      </c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567</v>
      </c>
      <c r="I16" s="305">
        <f t="shared" si="7"/>
        <v>11</v>
      </c>
      <c r="J16" s="306">
        <f t="shared" si="4"/>
        <v>12138</v>
      </c>
      <c r="K16" s="306">
        <f t="shared" si="5"/>
        <v>0</v>
      </c>
      <c r="L16" s="306">
        <f t="shared" si="6"/>
        <v>11907</v>
      </c>
      <c r="M16" s="306">
        <f t="shared" si="8"/>
        <v>231</v>
      </c>
      <c r="N16" s="171">
        <v>7</v>
      </c>
      <c r="O16" s="238"/>
      <c r="P16" s="165"/>
      <c r="R16" s="306">
        <f>L16-'PAY EST 3'!L16</f>
        <v>6384</v>
      </c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546</v>
      </c>
      <c r="I17" s="167">
        <f t="shared" si="7"/>
        <v>-20</v>
      </c>
      <c r="J17" s="162">
        <f t="shared" si="4"/>
        <v>38661</v>
      </c>
      <c r="K17" s="162">
        <f t="shared" si="5"/>
        <v>0</v>
      </c>
      <c r="L17" s="162">
        <f t="shared" si="6"/>
        <v>40131</v>
      </c>
      <c r="M17" s="162">
        <f t="shared" si="8"/>
        <v>-1470</v>
      </c>
      <c r="N17" s="171">
        <v>8</v>
      </c>
      <c r="O17" s="238"/>
      <c r="P17" s="165"/>
      <c r="R17" s="162">
        <f>L17-'PAY EST 3'!L17</f>
        <v>9849</v>
      </c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546</v>
      </c>
      <c r="I18" s="167">
        <f t="shared" si="7"/>
        <v>-20</v>
      </c>
      <c r="J18" s="162">
        <f t="shared" si="4"/>
        <v>11046</v>
      </c>
      <c r="K18" s="162">
        <f t="shared" si="5"/>
        <v>0</v>
      </c>
      <c r="L18" s="162">
        <f t="shared" si="6"/>
        <v>11466</v>
      </c>
      <c r="M18" s="162">
        <f t="shared" si="8"/>
        <v>-420</v>
      </c>
      <c r="N18" s="172"/>
      <c r="O18" s="239" t="s">
        <v>10</v>
      </c>
      <c r="P18" s="165"/>
      <c r="R18" s="162">
        <f>L18-'PAY EST 3'!L18</f>
        <v>2814</v>
      </c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0</v>
      </c>
      <c r="I19" s="167">
        <f t="shared" si="7"/>
        <v>200</v>
      </c>
      <c r="J19" s="162">
        <f t="shared" si="4"/>
        <v>5100</v>
      </c>
      <c r="K19" s="162">
        <f t="shared" si="5"/>
        <v>0</v>
      </c>
      <c r="L19" s="162">
        <f t="shared" si="6"/>
        <v>0</v>
      </c>
      <c r="M19" s="162">
        <f t="shared" si="8"/>
        <v>5100</v>
      </c>
      <c r="N19" s="173"/>
      <c r="O19" s="240">
        <f>SUM(O10:O17)</f>
        <v>5400</v>
      </c>
      <c r="P19" s="165"/>
      <c r="R19" s="162">
        <f>L19-'PAY EST 3'!L19</f>
        <v>0</v>
      </c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0</v>
      </c>
      <c r="I20" s="167">
        <f t="shared" si="7"/>
        <v>1</v>
      </c>
      <c r="J20" s="162">
        <f t="shared" si="4"/>
        <v>850</v>
      </c>
      <c r="K20" s="162">
        <f t="shared" si="5"/>
        <v>0</v>
      </c>
      <c r="L20" s="162">
        <f t="shared" si="6"/>
        <v>0</v>
      </c>
      <c r="M20" s="162">
        <f t="shared" si="8"/>
        <v>850</v>
      </c>
      <c r="N20" s="174"/>
      <c r="O20" s="241"/>
      <c r="P20" s="165"/>
      <c r="R20" s="162">
        <f>L20-'PAY EST 3'!L20</f>
        <v>0</v>
      </c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12</v>
      </c>
      <c r="I21" s="167">
        <f t="shared" si="7"/>
        <v>-11</v>
      </c>
      <c r="J21" s="162">
        <f t="shared" si="4"/>
        <v>600</v>
      </c>
      <c r="K21" s="162">
        <f t="shared" si="5"/>
        <v>0</v>
      </c>
      <c r="L21" s="162">
        <f t="shared" si="6"/>
        <v>7200</v>
      </c>
      <c r="M21" s="162">
        <f t="shared" si="8"/>
        <v>-6600</v>
      </c>
      <c r="N21" s="175" t="s">
        <v>54</v>
      </c>
      <c r="O21" s="242"/>
      <c r="P21" s="165"/>
      <c r="R21" s="162">
        <f>L21-'PAY EST 3'!L21</f>
        <v>3000</v>
      </c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>
        <f>L22-'PAY EST 3'!L22</f>
        <v>0</v>
      </c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>
        <f>L23-'PAY EST 3'!L23</f>
        <v>0</v>
      </c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  <c r="R24" s="296">
        <f>L24-'PAY EST 3'!L24</f>
        <v>0</v>
      </c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  <c r="R25" s="296">
        <f>L25-'PAY EST 3'!L25</f>
        <v>0</v>
      </c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41.5</v>
      </c>
      <c r="I26" s="295">
        <f t="shared" si="7"/>
        <v>-17.5</v>
      </c>
      <c r="J26" s="296">
        <f t="shared" si="4"/>
        <v>2520</v>
      </c>
      <c r="K26" s="296">
        <f t="shared" si="5"/>
        <v>0</v>
      </c>
      <c r="L26" s="296">
        <f t="shared" si="6"/>
        <v>4357.5</v>
      </c>
      <c r="M26" s="296">
        <f t="shared" si="8"/>
        <v>-1837.5</v>
      </c>
      <c r="N26" s="171">
        <v>2</v>
      </c>
      <c r="O26" s="239">
        <v>267401.59999999998</v>
      </c>
      <c r="P26" s="165"/>
      <c r="R26" s="296">
        <f>L26-'PAY EST 3'!L26</f>
        <v>1680</v>
      </c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>
        <v>137425.00000000006</v>
      </c>
      <c r="P27" s="165"/>
      <c r="R27" s="296">
        <f>L27-'PAY EST 3'!L27</f>
        <v>0</v>
      </c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>
        <v>344248.87024999998</v>
      </c>
      <c r="P28" s="165"/>
      <c r="R28" s="296">
        <f>L28-'PAY EST 3'!L28</f>
        <v>0</v>
      </c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/>
      <c r="P29" s="165"/>
      <c r="R29" s="296">
        <f>L29-'PAY EST 3'!L29</f>
        <v>0</v>
      </c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/>
      <c r="P30" s="165"/>
      <c r="R30" s="296">
        <f>L30-'PAY EST 3'!L30</f>
        <v>0</v>
      </c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4</v>
      </c>
      <c r="I31" s="295">
        <f t="shared" si="7"/>
        <v>1</v>
      </c>
      <c r="J31" s="296">
        <f t="shared" si="4"/>
        <v>2625</v>
      </c>
      <c r="K31" s="296">
        <f t="shared" si="5"/>
        <v>0</v>
      </c>
      <c r="L31" s="296">
        <f t="shared" si="6"/>
        <v>2100</v>
      </c>
      <c r="M31" s="296">
        <f t="shared" si="8"/>
        <v>525</v>
      </c>
      <c r="N31" s="177">
        <v>7</v>
      </c>
      <c r="O31" s="244"/>
      <c r="P31" s="165"/>
      <c r="R31" s="296">
        <f>L31-'PAY EST 3'!L31</f>
        <v>1050</v>
      </c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  <c r="R32" s="296">
        <f>L32-'PAY EST 3'!L32</f>
        <v>0</v>
      </c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6</v>
      </c>
      <c r="I33" s="295">
        <f t="shared" si="7"/>
        <v>-5</v>
      </c>
      <c r="J33" s="296">
        <f t="shared" si="4"/>
        <v>420</v>
      </c>
      <c r="K33" s="296">
        <f t="shared" si="5"/>
        <v>0</v>
      </c>
      <c r="L33" s="296">
        <f t="shared" si="6"/>
        <v>2520</v>
      </c>
      <c r="M33" s="296">
        <f t="shared" si="8"/>
        <v>-2100</v>
      </c>
      <c r="N33" s="179"/>
      <c r="O33" s="246">
        <f>SUM(O25:O31)</f>
        <v>844629.37025000004</v>
      </c>
      <c r="P33" s="165"/>
      <c r="R33" s="296">
        <f>L33-'PAY EST 3'!L33</f>
        <v>0</v>
      </c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2</v>
      </c>
      <c r="I34" s="295">
        <f t="shared" si="7"/>
        <v>-1</v>
      </c>
      <c r="J34" s="296">
        <f t="shared" si="4"/>
        <v>420</v>
      </c>
      <c r="K34" s="296">
        <f t="shared" si="5"/>
        <v>0</v>
      </c>
      <c r="L34" s="296">
        <f t="shared" si="6"/>
        <v>840</v>
      </c>
      <c r="M34" s="296">
        <f t="shared" si="8"/>
        <v>-420</v>
      </c>
      <c r="N34" s="180"/>
      <c r="P34" s="165"/>
      <c r="R34" s="296">
        <f>L34-'PAY EST 3'!L34</f>
        <v>0</v>
      </c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>
        <f>L35-'PAY EST 3'!L35</f>
        <v>0</v>
      </c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>
        <f>L36-'PAY EST 3'!L36</f>
        <v>0</v>
      </c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>
        <v>17</v>
      </c>
      <c r="I37" s="295">
        <f t="shared" si="7"/>
        <v>-2</v>
      </c>
      <c r="J37" s="296">
        <f t="shared" si="4"/>
        <v>63000</v>
      </c>
      <c r="K37" s="296">
        <f t="shared" si="5"/>
        <v>0</v>
      </c>
      <c r="L37" s="296">
        <f t="shared" si="6"/>
        <v>71400</v>
      </c>
      <c r="M37" s="296">
        <f t="shared" si="8"/>
        <v>-8400</v>
      </c>
      <c r="N37" s="180"/>
      <c r="P37" s="165"/>
      <c r="R37" s="296">
        <f>L37-'PAY EST 3'!L37</f>
        <v>0</v>
      </c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>
        <v>17</v>
      </c>
      <c r="I38" s="295">
        <f t="shared" si="7"/>
        <v>-2</v>
      </c>
      <c r="J38" s="296">
        <f t="shared" si="4"/>
        <v>47250</v>
      </c>
      <c r="K38" s="296">
        <f t="shared" si="5"/>
        <v>0</v>
      </c>
      <c r="L38" s="296">
        <f t="shared" si="6"/>
        <v>53550</v>
      </c>
      <c r="M38" s="296">
        <f t="shared" si="8"/>
        <v>-6300</v>
      </c>
      <c r="N38" s="180"/>
      <c r="P38" s="165"/>
      <c r="R38" s="296">
        <f>L38-'PAY EST 3'!L38</f>
        <v>0</v>
      </c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  <c r="R39" s="296">
        <f>L39-'PAY EST 3'!L39</f>
        <v>0</v>
      </c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2</v>
      </c>
      <c r="I40" s="295">
        <f t="shared" si="7"/>
        <v>0</v>
      </c>
      <c r="J40" s="296">
        <f t="shared" si="4"/>
        <v>3150</v>
      </c>
      <c r="K40" s="296">
        <f t="shared" si="5"/>
        <v>0</v>
      </c>
      <c r="L40" s="296">
        <f t="shared" si="6"/>
        <v>3150</v>
      </c>
      <c r="M40" s="296">
        <f t="shared" si="8"/>
        <v>0</v>
      </c>
      <c r="N40" s="180"/>
      <c r="P40" s="165"/>
      <c r="R40" s="296">
        <f>L40-'PAY EST 3'!L40</f>
        <v>1575</v>
      </c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6</v>
      </c>
      <c r="I41" s="295">
        <f t="shared" si="7"/>
        <v>-1</v>
      </c>
      <c r="J41" s="296">
        <f t="shared" si="4"/>
        <v>42000</v>
      </c>
      <c r="K41" s="296">
        <f t="shared" si="5"/>
        <v>0</v>
      </c>
      <c r="L41" s="296">
        <f t="shared" si="6"/>
        <v>50400</v>
      </c>
      <c r="M41" s="296">
        <f t="shared" si="8"/>
        <v>-8400</v>
      </c>
      <c r="N41" s="180"/>
      <c r="P41" s="165"/>
      <c r="R41" s="296">
        <f>L41-'PAY EST 3'!L41</f>
        <v>16800</v>
      </c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0</v>
      </c>
      <c r="I42" s="295">
        <f t="shared" si="7"/>
        <v>10</v>
      </c>
      <c r="J42" s="296">
        <f t="shared" si="4"/>
        <v>6500</v>
      </c>
      <c r="K42" s="296">
        <f t="shared" si="5"/>
        <v>0</v>
      </c>
      <c r="L42" s="296">
        <f t="shared" si="6"/>
        <v>0</v>
      </c>
      <c r="M42" s="296">
        <f t="shared" si="8"/>
        <v>6500</v>
      </c>
      <c r="N42" s="180"/>
      <c r="P42" s="165"/>
      <c r="R42" s="296">
        <f>L42-'PAY EST 3'!L42</f>
        <v>0</v>
      </c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3</v>
      </c>
      <c r="I43" s="295">
        <f t="shared" si="7"/>
        <v>1</v>
      </c>
      <c r="J43" s="296">
        <f t="shared" si="4"/>
        <v>4200</v>
      </c>
      <c r="K43" s="296">
        <f t="shared" si="5"/>
        <v>0</v>
      </c>
      <c r="L43" s="296">
        <f t="shared" si="6"/>
        <v>3150</v>
      </c>
      <c r="M43" s="296">
        <f t="shared" si="8"/>
        <v>1050</v>
      </c>
      <c r="N43" s="180"/>
      <c r="P43" s="165"/>
      <c r="R43" s="296">
        <f>L43-'PAY EST 3'!L43</f>
        <v>1050</v>
      </c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5</v>
      </c>
      <c r="I44" s="295">
        <f t="shared" si="7"/>
        <v>-3</v>
      </c>
      <c r="J44" s="296">
        <f t="shared" si="4"/>
        <v>1050</v>
      </c>
      <c r="K44" s="296">
        <f t="shared" si="5"/>
        <v>0</v>
      </c>
      <c r="L44" s="296">
        <f t="shared" si="6"/>
        <v>2625</v>
      </c>
      <c r="M44" s="296">
        <f t="shared" si="8"/>
        <v>-1575</v>
      </c>
      <c r="N44" s="180"/>
      <c r="P44" s="165"/>
      <c r="R44" s="296">
        <f>L44-'PAY EST 3'!L44</f>
        <v>525</v>
      </c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4</v>
      </c>
      <c r="I45" s="295">
        <f t="shared" si="7"/>
        <v>8</v>
      </c>
      <c r="J45" s="296">
        <f t="shared" si="4"/>
        <v>6300</v>
      </c>
      <c r="K45" s="296">
        <f t="shared" si="5"/>
        <v>0</v>
      </c>
      <c r="L45" s="296">
        <f t="shared" si="6"/>
        <v>2100</v>
      </c>
      <c r="M45" s="296">
        <f t="shared" si="8"/>
        <v>4200</v>
      </c>
      <c r="N45" s="180"/>
      <c r="P45" s="165"/>
      <c r="R45" s="296">
        <f>L45-'PAY EST 3'!L45</f>
        <v>0</v>
      </c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>
        <f>L46-'PAY EST 3'!L46</f>
        <v>0</v>
      </c>
    </row>
    <row r="47" spans="1:18">
      <c r="A47" s="335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8</v>
      </c>
      <c r="I47" s="305">
        <f t="shared" si="7"/>
        <v>0</v>
      </c>
      <c r="J47" s="306">
        <f t="shared" si="4"/>
        <v>74741.600000000006</v>
      </c>
      <c r="K47" s="306">
        <f t="shared" si="5"/>
        <v>0</v>
      </c>
      <c r="L47" s="306">
        <f t="shared" si="6"/>
        <v>74741.600000000006</v>
      </c>
      <c r="M47" s="306">
        <f t="shared" si="8"/>
        <v>0</v>
      </c>
      <c r="N47" s="180"/>
      <c r="P47" s="165"/>
      <c r="R47" s="306">
        <f>L47-'PAY EST 3'!L47</f>
        <v>37370.800000000003</v>
      </c>
    </row>
    <row r="48" spans="1:18">
      <c r="A48" s="256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1</v>
      </c>
      <c r="I48" s="167">
        <f t="shared" si="7"/>
        <v>0</v>
      </c>
      <c r="J48" s="162">
        <f t="shared" si="4"/>
        <v>9532.36</v>
      </c>
      <c r="K48" s="162">
        <f t="shared" si="5"/>
        <v>0</v>
      </c>
      <c r="L48" s="162">
        <f t="shared" si="6"/>
        <v>9532.36</v>
      </c>
      <c r="M48" s="162">
        <f t="shared" si="8"/>
        <v>0</v>
      </c>
      <c r="N48" s="180"/>
      <c r="P48" s="165"/>
      <c r="R48" s="162">
        <f>L48-'PAY EST 3'!L48</f>
        <v>9532.36</v>
      </c>
    </row>
    <row r="49" spans="1:18">
      <c r="A49" s="256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7</v>
      </c>
      <c r="I49" s="167">
        <f t="shared" si="7"/>
        <v>0</v>
      </c>
      <c r="J49" s="162">
        <f t="shared" si="4"/>
        <v>24746.12</v>
      </c>
      <c r="K49" s="162">
        <f t="shared" si="5"/>
        <v>0</v>
      </c>
      <c r="L49" s="162">
        <f t="shared" si="6"/>
        <v>24746.12</v>
      </c>
      <c r="M49" s="162">
        <f t="shared" si="8"/>
        <v>0</v>
      </c>
      <c r="N49" s="180"/>
      <c r="P49" s="165"/>
      <c r="R49" s="162">
        <f>L49-'PAY EST 3'!L49</f>
        <v>17675.8</v>
      </c>
    </row>
    <row r="50" spans="1:18">
      <c r="A50" s="356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>
        <v>2</v>
      </c>
      <c r="I50" s="167">
        <f t="shared" si="7"/>
        <v>0</v>
      </c>
      <c r="J50" s="162">
        <f t="shared" si="4"/>
        <v>14549.7</v>
      </c>
      <c r="K50" s="162">
        <f t="shared" si="5"/>
        <v>0</v>
      </c>
      <c r="L50" s="162">
        <f t="shared" si="6"/>
        <v>14549.7</v>
      </c>
      <c r="M50" s="162">
        <f t="shared" si="8"/>
        <v>0</v>
      </c>
      <c r="N50" s="180"/>
      <c r="P50" s="165"/>
      <c r="R50" s="162">
        <f>L50-'PAY EST 3'!L50</f>
        <v>14549.7</v>
      </c>
    </row>
    <row r="51" spans="1:18">
      <c r="A51" s="335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0</v>
      </c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  <c r="R51" s="306">
        <f>L51-'PAY EST 3'!L51</f>
        <v>0</v>
      </c>
    </row>
    <row r="52" spans="1:18">
      <c r="A52" s="335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>
        <f>L52-'PAY EST 3'!L52</f>
        <v>5250</v>
      </c>
    </row>
    <row r="53" spans="1:18">
      <c r="A53" s="357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2</v>
      </c>
      <c r="I53" s="333">
        <f t="shared" si="7"/>
        <v>1</v>
      </c>
      <c r="J53" s="334">
        <f t="shared" si="4"/>
        <v>3709.5</v>
      </c>
      <c r="K53" s="334">
        <f t="shared" si="5"/>
        <v>0</v>
      </c>
      <c r="L53" s="334">
        <f t="shared" si="6"/>
        <v>2473</v>
      </c>
      <c r="M53" s="334">
        <f t="shared" si="8"/>
        <v>1236.5</v>
      </c>
      <c r="N53" s="180"/>
      <c r="P53" s="165"/>
      <c r="R53" s="334">
        <f>L53-'PAY EST 3'!L53</f>
        <v>2473</v>
      </c>
    </row>
    <row r="54" spans="1:18">
      <c r="A54" s="335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9</v>
      </c>
      <c r="I54" s="305">
        <f t="shared" si="7"/>
        <v>0</v>
      </c>
      <c r="J54" s="306">
        <f t="shared" si="4"/>
        <v>9450</v>
      </c>
      <c r="K54" s="306">
        <f t="shared" si="5"/>
        <v>0</v>
      </c>
      <c r="L54" s="306">
        <f t="shared" si="6"/>
        <v>9450</v>
      </c>
      <c r="M54" s="306">
        <f t="shared" si="8"/>
        <v>0</v>
      </c>
      <c r="N54" s="180"/>
      <c r="P54" s="165"/>
      <c r="R54" s="306">
        <f>L54-'PAY EST 3'!L54</f>
        <v>5250</v>
      </c>
    </row>
    <row r="55" spans="1:18">
      <c r="A55" s="256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1</v>
      </c>
      <c r="I55" s="167">
        <f t="shared" si="7"/>
        <v>0</v>
      </c>
      <c r="J55" s="162">
        <f t="shared" si="4"/>
        <v>1050</v>
      </c>
      <c r="K55" s="162">
        <f t="shared" si="5"/>
        <v>0</v>
      </c>
      <c r="L55" s="162">
        <f t="shared" si="6"/>
        <v>1050</v>
      </c>
      <c r="M55" s="162">
        <f t="shared" si="8"/>
        <v>0</v>
      </c>
      <c r="N55" s="180"/>
      <c r="P55" s="165"/>
      <c r="R55" s="162">
        <f>L55-'PAY EST 3'!L55</f>
        <v>1050</v>
      </c>
    </row>
    <row r="56" spans="1:18">
      <c r="A56" s="256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8</v>
      </c>
      <c r="I56" s="167">
        <f t="shared" si="7"/>
        <v>1</v>
      </c>
      <c r="J56" s="162">
        <f t="shared" si="4"/>
        <v>9450</v>
      </c>
      <c r="K56" s="162">
        <f t="shared" si="5"/>
        <v>0</v>
      </c>
      <c r="L56" s="162">
        <f t="shared" si="6"/>
        <v>8400</v>
      </c>
      <c r="M56" s="162">
        <f t="shared" si="8"/>
        <v>1050</v>
      </c>
      <c r="N56" s="180"/>
      <c r="P56" s="165"/>
      <c r="R56" s="162">
        <f>L56-'PAY EST 3'!L56</f>
        <v>6300</v>
      </c>
    </row>
    <row r="57" spans="1:18">
      <c r="A57" s="335" t="s">
        <v>297</v>
      </c>
      <c r="B57" s="299" t="str">
        <f t="shared" si="0"/>
        <v xml:space="preserve">Sanitary Sewer MH - External Drop (E 16th and Maxwell) </v>
      </c>
      <c r="C57" s="300"/>
      <c r="D57" s="301" t="str">
        <f t="shared" si="1"/>
        <v>LS</v>
      </c>
      <c r="E57" s="302">
        <f t="shared" si="2"/>
        <v>3300</v>
      </c>
      <c r="F57" s="303">
        <f t="shared" si="3"/>
        <v>1</v>
      </c>
      <c r="G57" s="304"/>
      <c r="H57" s="304">
        <v>1</v>
      </c>
      <c r="I57" s="305">
        <f t="shared" ref="I57" si="9">IF(ISBLANK(G57),F57,F57+G57)-H57</f>
        <v>0</v>
      </c>
      <c r="J57" s="306">
        <f t="shared" ref="J57" si="10">IF(ISERROR(F57*E57),0,F57*E57)</f>
        <v>3300</v>
      </c>
      <c r="K57" s="306">
        <f t="shared" ref="K57" si="11">IF(ISERROR(G57*E57),0,G57*E57)</f>
        <v>0</v>
      </c>
      <c r="L57" s="306">
        <f t="shared" ref="L57" si="12">IF(ISERROR(H57*E57),0,H57*E57)</f>
        <v>3300</v>
      </c>
      <c r="M57" s="306">
        <f t="shared" ref="M57" si="13">SUM(J57:K57)-L57</f>
        <v>0</v>
      </c>
      <c r="N57" s="180"/>
      <c r="P57" s="165"/>
      <c r="R57" s="162">
        <f>L57-'PAY EST 3'!L56</f>
        <v>1200</v>
      </c>
    </row>
    <row r="58" spans="1:18">
      <c r="A58" s="256"/>
      <c r="B58" s="23" t="e">
        <f t="shared" si="0"/>
        <v>#N/A</v>
      </c>
      <c r="C58" s="137"/>
      <c r="D58" s="24" t="e">
        <f t="shared" si="1"/>
        <v>#N/A</v>
      </c>
      <c r="E58" s="231" t="e">
        <f t="shared" si="2"/>
        <v>#N/A</v>
      </c>
      <c r="F58" s="225" t="e">
        <f t="shared" si="3"/>
        <v>#N/A</v>
      </c>
      <c r="G58" s="227"/>
      <c r="H58" s="227"/>
      <c r="I58" s="167" t="e">
        <f t="shared" si="7"/>
        <v>#N/A</v>
      </c>
      <c r="J58" s="162">
        <f t="shared" si="4"/>
        <v>0</v>
      </c>
      <c r="K58" s="162">
        <f t="shared" si="5"/>
        <v>0</v>
      </c>
      <c r="L58" s="162">
        <f t="shared" si="6"/>
        <v>0</v>
      </c>
      <c r="M58" s="162">
        <f t="shared" si="8"/>
        <v>0</v>
      </c>
      <c r="N58" s="180"/>
      <c r="P58" s="165"/>
      <c r="R58" s="162">
        <f>L58-'PAY EST 3'!L57</f>
        <v>0</v>
      </c>
    </row>
    <row r="59" spans="1:18">
      <c r="A59" s="358" t="s">
        <v>258</v>
      </c>
      <c r="B59" s="325" t="str">
        <f t="shared" si="0"/>
        <v>Curb &amp; Gutter, 30" width, 12" thickness</v>
      </c>
      <c r="C59" s="337"/>
      <c r="D59" s="338" t="str">
        <f t="shared" si="1"/>
        <v>lf</v>
      </c>
      <c r="E59" s="339">
        <f t="shared" si="2"/>
        <v>35</v>
      </c>
      <c r="F59" s="340">
        <f t="shared" si="3"/>
        <v>5300</v>
      </c>
      <c r="G59" s="341"/>
      <c r="H59" s="341">
        <v>2301</v>
      </c>
      <c r="I59" s="342">
        <f t="shared" si="7"/>
        <v>2999</v>
      </c>
      <c r="J59" s="343">
        <f t="shared" si="4"/>
        <v>185500</v>
      </c>
      <c r="K59" s="343">
        <f t="shared" si="5"/>
        <v>0</v>
      </c>
      <c r="L59" s="343">
        <f t="shared" si="6"/>
        <v>80535</v>
      </c>
      <c r="M59" s="343">
        <f t="shared" si="8"/>
        <v>104965</v>
      </c>
      <c r="N59" s="180"/>
      <c r="P59" s="165"/>
      <c r="R59" s="343">
        <f>L59-'PAY EST 3'!L58</f>
        <v>80535</v>
      </c>
    </row>
    <row r="60" spans="1:18">
      <c r="A60" s="256" t="s">
        <v>259</v>
      </c>
      <c r="B60" s="23" t="str">
        <f t="shared" si="0"/>
        <v>Pavement, HMA, Base, 5" depth</v>
      </c>
      <c r="C60" s="137"/>
      <c r="D60" s="24" t="str">
        <f t="shared" si="1"/>
        <v>ton</v>
      </c>
      <c r="E60" s="231">
        <f t="shared" si="2"/>
        <v>103</v>
      </c>
      <c r="F60" s="225">
        <f t="shared" si="3"/>
        <v>2844.8</v>
      </c>
      <c r="G60" s="227"/>
      <c r="H60" s="227">
        <v>966.86</v>
      </c>
      <c r="I60" s="167">
        <f t="shared" si="7"/>
        <v>1877.94</v>
      </c>
      <c r="J60" s="162">
        <f t="shared" si="4"/>
        <v>293014.40000000002</v>
      </c>
      <c r="K60" s="162">
        <f t="shared" si="5"/>
        <v>0</v>
      </c>
      <c r="L60" s="162">
        <f t="shared" si="6"/>
        <v>99586.58</v>
      </c>
      <c r="M60" s="162">
        <f t="shared" si="8"/>
        <v>193427.82</v>
      </c>
      <c r="N60" s="180"/>
      <c r="P60" s="165"/>
      <c r="R60" s="162">
        <f>L60-'PAY EST 3'!L59</f>
        <v>99586.58</v>
      </c>
    </row>
    <row r="61" spans="1:18">
      <c r="A61" s="256" t="s">
        <v>260</v>
      </c>
      <c r="B61" s="23" t="str">
        <f t="shared" si="0"/>
        <v>Pavement, HMA, Surface, 2" depth</v>
      </c>
      <c r="C61" s="137"/>
      <c r="D61" s="24" t="str">
        <f t="shared" si="1"/>
        <v>ton</v>
      </c>
      <c r="E61" s="231">
        <f t="shared" si="2"/>
        <v>108</v>
      </c>
      <c r="F61" s="225">
        <f t="shared" si="3"/>
        <v>1144.4000000000001</v>
      </c>
      <c r="G61" s="227"/>
      <c r="H61" s="227">
        <v>341.41</v>
      </c>
      <c r="I61" s="167">
        <f t="shared" si="7"/>
        <v>802.99</v>
      </c>
      <c r="J61" s="162">
        <f t="shared" si="4"/>
        <v>123595.20000000001</v>
      </c>
      <c r="K61" s="162">
        <f t="shared" si="5"/>
        <v>0</v>
      </c>
      <c r="L61" s="162">
        <f t="shared" si="6"/>
        <v>36872.280000000006</v>
      </c>
      <c r="M61" s="162">
        <f t="shared" si="8"/>
        <v>86722.920000000013</v>
      </c>
      <c r="N61" s="180"/>
      <c r="P61" s="165"/>
      <c r="R61" s="162">
        <f>L61-'PAY EST 3'!L60</f>
        <v>36872.280000000006</v>
      </c>
    </row>
    <row r="62" spans="1:18">
      <c r="A62" s="256" t="s">
        <v>261</v>
      </c>
      <c r="B62" s="23" t="str">
        <f t="shared" si="0"/>
        <v>Removal of Sidewalk/Driveway</v>
      </c>
      <c r="C62" s="137"/>
      <c r="D62" s="24" t="str">
        <f t="shared" si="1"/>
        <v>sy</v>
      </c>
      <c r="E62" s="231">
        <f t="shared" si="2"/>
        <v>10.75</v>
      </c>
      <c r="F62" s="225">
        <f t="shared" si="3"/>
        <v>1191.7</v>
      </c>
      <c r="G62" s="227"/>
      <c r="H62" s="227">
        <v>513.56700000000001</v>
      </c>
      <c r="I62" s="167">
        <f t="shared" si="7"/>
        <v>678.13300000000004</v>
      </c>
      <c r="J62" s="162">
        <f t="shared" si="4"/>
        <v>12810.775</v>
      </c>
      <c r="K62" s="162">
        <f t="shared" si="5"/>
        <v>0</v>
      </c>
      <c r="L62" s="162">
        <f t="shared" si="6"/>
        <v>5520.8452500000003</v>
      </c>
      <c r="M62" s="162">
        <f t="shared" si="8"/>
        <v>7289.9297499999993</v>
      </c>
      <c r="N62" s="180"/>
      <c r="P62" s="165"/>
      <c r="R62" s="162">
        <f>L62-'PAY EST 3'!L61</f>
        <v>3734.1952500000007</v>
      </c>
    </row>
    <row r="63" spans="1:18">
      <c r="A63" s="358" t="s">
        <v>262</v>
      </c>
      <c r="B63" s="325" t="str">
        <f t="shared" si="0"/>
        <v>Sidewalk/Drive, PCC, 6"/4" depth</v>
      </c>
      <c r="C63" s="337"/>
      <c r="D63" s="338" t="str">
        <f t="shared" si="1"/>
        <v>sy</v>
      </c>
      <c r="E63" s="339">
        <f t="shared" si="2"/>
        <v>94</v>
      </c>
      <c r="F63" s="340">
        <f t="shared" si="3"/>
        <v>1293</v>
      </c>
      <c r="G63" s="341"/>
      <c r="H63" s="341">
        <v>518.6</v>
      </c>
      <c r="I63" s="342">
        <f t="shared" si="7"/>
        <v>774.4</v>
      </c>
      <c r="J63" s="343">
        <f t="shared" si="4"/>
        <v>121542</v>
      </c>
      <c r="K63" s="343">
        <f t="shared" si="5"/>
        <v>0</v>
      </c>
      <c r="L63" s="343">
        <f t="shared" si="6"/>
        <v>48748.4</v>
      </c>
      <c r="M63" s="343">
        <f t="shared" si="8"/>
        <v>72793.600000000006</v>
      </c>
      <c r="N63" s="180"/>
      <c r="P63" s="165"/>
      <c r="R63" s="343">
        <f>L63-'PAY EST 3'!L62</f>
        <v>48748.4</v>
      </c>
    </row>
    <row r="64" spans="1:18">
      <c r="A64" s="256" t="s">
        <v>263</v>
      </c>
      <c r="B64" s="23" t="str">
        <f t="shared" si="0"/>
        <v>Detectable Warning</v>
      </c>
      <c r="C64" s="137"/>
      <c r="D64" s="24" t="str">
        <f t="shared" si="1"/>
        <v>sf</v>
      </c>
      <c r="E64" s="231">
        <f t="shared" si="2"/>
        <v>45</v>
      </c>
      <c r="F64" s="225">
        <f t="shared" si="3"/>
        <v>263</v>
      </c>
      <c r="G64" s="227"/>
      <c r="H64" s="227">
        <v>20</v>
      </c>
      <c r="I64" s="167">
        <f t="shared" si="7"/>
        <v>243</v>
      </c>
      <c r="J64" s="162">
        <f t="shared" si="4"/>
        <v>11835</v>
      </c>
      <c r="K64" s="162">
        <f t="shared" si="5"/>
        <v>0</v>
      </c>
      <c r="L64" s="162">
        <f t="shared" si="6"/>
        <v>900</v>
      </c>
      <c r="M64" s="162">
        <f t="shared" si="8"/>
        <v>10935</v>
      </c>
      <c r="N64" s="180"/>
      <c r="P64" s="165"/>
      <c r="R64" s="162">
        <f>L64-'PAY EST 3'!L63</f>
        <v>900</v>
      </c>
    </row>
    <row r="65" spans="1:18">
      <c r="A65" s="256" t="s">
        <v>264</v>
      </c>
      <c r="B65" s="23" t="str">
        <f t="shared" si="0"/>
        <v>Full Depth Patch, PCC</v>
      </c>
      <c r="C65" s="137"/>
      <c r="D65" s="24" t="str">
        <f t="shared" si="1"/>
        <v>sy</v>
      </c>
      <c r="E65" s="231">
        <f t="shared" si="2"/>
        <v>112</v>
      </c>
      <c r="F65" s="225">
        <f t="shared" si="3"/>
        <v>44.2</v>
      </c>
      <c r="G65" s="227"/>
      <c r="H65" s="227">
        <v>44.7</v>
      </c>
      <c r="I65" s="167">
        <f t="shared" si="7"/>
        <v>-0.5</v>
      </c>
      <c r="J65" s="162">
        <f t="shared" si="4"/>
        <v>4950.4000000000005</v>
      </c>
      <c r="K65" s="162">
        <f t="shared" si="5"/>
        <v>0</v>
      </c>
      <c r="L65" s="162">
        <f t="shared" si="6"/>
        <v>5006.4000000000005</v>
      </c>
      <c r="M65" s="162">
        <f t="shared" si="8"/>
        <v>-56</v>
      </c>
      <c r="N65" s="180"/>
      <c r="P65" s="165"/>
      <c r="R65" s="162">
        <f>L65-'PAY EST 3'!L64</f>
        <v>5006.4000000000005</v>
      </c>
    </row>
    <row r="66" spans="1:18">
      <c r="A66" s="256" t="s">
        <v>265</v>
      </c>
      <c r="B66" s="23" t="str">
        <f t="shared" si="0"/>
        <v>Milling</v>
      </c>
      <c r="C66" s="137"/>
      <c r="D66" s="24" t="str">
        <f t="shared" si="1"/>
        <v>sy</v>
      </c>
      <c r="E66" s="231">
        <f t="shared" si="2"/>
        <v>78</v>
      </c>
      <c r="F66" s="225">
        <f t="shared" si="3"/>
        <v>52.7</v>
      </c>
      <c r="G66" s="227"/>
      <c r="H66" s="227">
        <v>0</v>
      </c>
      <c r="I66" s="167">
        <f t="shared" si="7"/>
        <v>52.7</v>
      </c>
      <c r="J66" s="162">
        <f t="shared" si="4"/>
        <v>4110.6000000000004</v>
      </c>
      <c r="K66" s="162">
        <f t="shared" si="5"/>
        <v>0</v>
      </c>
      <c r="L66" s="162">
        <f t="shared" si="6"/>
        <v>0</v>
      </c>
      <c r="M66" s="162">
        <f t="shared" si="8"/>
        <v>4110.6000000000004</v>
      </c>
      <c r="N66" s="180"/>
      <c r="P66" s="165"/>
      <c r="R66" s="162">
        <f>L66-'PAY EST 3'!L65</f>
        <v>0</v>
      </c>
    </row>
    <row r="67" spans="1:18">
      <c r="A67" s="256" t="s">
        <v>266</v>
      </c>
      <c r="B67" s="23" t="str">
        <f t="shared" si="0"/>
        <v>Pavement Removal</v>
      </c>
      <c r="C67" s="137"/>
      <c r="D67" s="24" t="str">
        <f t="shared" si="1"/>
        <v>sy</v>
      </c>
      <c r="E67" s="231">
        <f t="shared" si="2"/>
        <v>5.5</v>
      </c>
      <c r="F67" s="225">
        <f t="shared" si="3"/>
        <v>9400.1</v>
      </c>
      <c r="G67" s="227"/>
      <c r="H67" s="227">
        <v>3271.6</v>
      </c>
      <c r="I67" s="167">
        <f t="shared" si="7"/>
        <v>6128.5</v>
      </c>
      <c r="J67" s="162">
        <f t="shared" si="4"/>
        <v>51700.55</v>
      </c>
      <c r="K67" s="162">
        <f t="shared" si="5"/>
        <v>0</v>
      </c>
      <c r="L67" s="162">
        <f t="shared" si="6"/>
        <v>17993.8</v>
      </c>
      <c r="M67" s="162">
        <f t="shared" si="8"/>
        <v>33706.75</v>
      </c>
      <c r="N67" s="180"/>
      <c r="P67" s="165"/>
      <c r="R67" s="162">
        <f>L67-'PAY EST 3'!L66</f>
        <v>10238.799999999999</v>
      </c>
    </row>
    <row r="68" spans="1:18">
      <c r="A68" s="256" t="s">
        <v>288</v>
      </c>
      <c r="B68" s="23" t="str">
        <f t="shared" si="0"/>
        <v>Curb &amp; Gutter Removal</v>
      </c>
      <c r="C68" s="137"/>
      <c r="D68" s="24" t="str">
        <f t="shared" si="1"/>
        <v>lf</v>
      </c>
      <c r="E68" s="231">
        <f t="shared" si="2"/>
        <v>6.25</v>
      </c>
      <c r="F68" s="225">
        <f t="shared" si="3"/>
        <v>5281</v>
      </c>
      <c r="G68" s="227"/>
      <c r="H68" s="227">
        <v>2301</v>
      </c>
      <c r="I68" s="167">
        <f t="shared" si="7"/>
        <v>2980</v>
      </c>
      <c r="J68" s="162">
        <f t="shared" si="4"/>
        <v>33006.25</v>
      </c>
      <c r="K68" s="162">
        <f t="shared" si="5"/>
        <v>0</v>
      </c>
      <c r="L68" s="162">
        <f t="shared" si="6"/>
        <v>14381.25</v>
      </c>
      <c r="M68" s="162">
        <f t="shared" si="8"/>
        <v>18625</v>
      </c>
      <c r="N68" s="180"/>
      <c r="P68" s="165"/>
      <c r="R68" s="162">
        <f>L68-'PAY EST 3'!L67</f>
        <v>11825</v>
      </c>
    </row>
    <row r="69" spans="1:18">
      <c r="A69" s="256" t="s">
        <v>267</v>
      </c>
      <c r="B69" s="23" t="str">
        <f t="shared" si="0"/>
        <v>Engineering Fabric/Geogrid Fabric</v>
      </c>
      <c r="C69" s="137"/>
      <c r="D69" s="24" t="str">
        <f t="shared" si="1"/>
        <v>sy</v>
      </c>
      <c r="E69" s="231">
        <f t="shared" si="2"/>
        <v>3.5</v>
      </c>
      <c r="F69" s="225">
        <f t="shared" si="3"/>
        <v>2996</v>
      </c>
      <c r="G69" s="227"/>
      <c r="H69" s="227">
        <v>2820.8</v>
      </c>
      <c r="I69" s="167">
        <f t="shared" si="7"/>
        <v>175.19999999999982</v>
      </c>
      <c r="J69" s="162">
        <f t="shared" si="4"/>
        <v>10486</v>
      </c>
      <c r="K69" s="162">
        <f t="shared" si="5"/>
        <v>0</v>
      </c>
      <c r="L69" s="162">
        <f t="shared" si="6"/>
        <v>9872.8000000000011</v>
      </c>
      <c r="M69" s="162">
        <f t="shared" si="8"/>
        <v>613.19999999999891</v>
      </c>
      <c r="N69" s="180"/>
      <c r="P69" s="165"/>
      <c r="R69" s="162">
        <f>L69-'PAY EST 3'!L68</f>
        <v>9872.8000000000011</v>
      </c>
    </row>
    <row r="70" spans="1:18">
      <c r="A70" s="256"/>
      <c r="B70" s="23" t="e">
        <f t="shared" si="0"/>
        <v>#N/A</v>
      </c>
      <c r="C70" s="137"/>
      <c r="D70" s="24" t="e">
        <f t="shared" si="1"/>
        <v>#N/A</v>
      </c>
      <c r="E70" s="231" t="e">
        <f t="shared" si="2"/>
        <v>#N/A</v>
      </c>
      <c r="F70" s="225" t="e">
        <f t="shared" si="3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  <c r="R70" s="162">
        <f>L70-'PAY EST 3'!L69</f>
        <v>0</v>
      </c>
    </row>
    <row r="71" spans="1:18">
      <c r="A71" s="256" t="s">
        <v>268</v>
      </c>
      <c r="B71" s="23" t="str">
        <f t="shared" si="0"/>
        <v>Temporary Traffic Control</v>
      </c>
      <c r="C71" s="137"/>
      <c r="D71" s="24" t="str">
        <f t="shared" si="1"/>
        <v>ls</v>
      </c>
      <c r="E71" s="231">
        <f t="shared" si="2"/>
        <v>17350</v>
      </c>
      <c r="F71" s="225">
        <f t="shared" si="3"/>
        <v>1</v>
      </c>
      <c r="G71" s="227"/>
      <c r="H71" s="227">
        <v>0.6</v>
      </c>
      <c r="I71" s="167">
        <f t="shared" si="7"/>
        <v>0.4</v>
      </c>
      <c r="J71" s="162">
        <f t="shared" si="4"/>
        <v>17350</v>
      </c>
      <c r="K71" s="162">
        <f t="shared" si="5"/>
        <v>0</v>
      </c>
      <c r="L71" s="162">
        <f t="shared" si="6"/>
        <v>10410</v>
      </c>
      <c r="M71" s="162">
        <f t="shared" si="8"/>
        <v>6940</v>
      </c>
      <c r="N71" s="180"/>
      <c r="P71" s="165"/>
      <c r="R71" s="162">
        <f>L71-'PAY EST 3'!L70</f>
        <v>5205</v>
      </c>
    </row>
    <row r="72" spans="1:18">
      <c r="A72" s="256"/>
      <c r="B72" s="23" t="e">
        <f t="shared" si="0"/>
        <v>#N/A</v>
      </c>
      <c r="C72" s="137"/>
      <c r="D72" s="24" t="e">
        <f t="shared" si="1"/>
        <v>#N/A</v>
      </c>
      <c r="E72" s="232" t="e">
        <f t="shared" si="2"/>
        <v>#N/A</v>
      </c>
      <c r="F72" s="225" t="e">
        <f t="shared" si="3"/>
        <v>#N/A</v>
      </c>
      <c r="G72" s="227"/>
      <c r="H72" s="227"/>
      <c r="I72" s="167" t="e">
        <f t="shared" si="7"/>
        <v>#N/A</v>
      </c>
      <c r="J72" s="162">
        <f t="shared" si="4"/>
        <v>0</v>
      </c>
      <c r="K72" s="162">
        <f t="shared" si="5"/>
        <v>0</v>
      </c>
      <c r="L72" s="162">
        <f t="shared" si="6"/>
        <v>0</v>
      </c>
      <c r="M72" s="162">
        <f t="shared" si="8"/>
        <v>0</v>
      </c>
      <c r="N72" s="180"/>
      <c r="P72" s="165"/>
      <c r="R72" s="162">
        <f>L72-'PAY EST 3'!L71</f>
        <v>0</v>
      </c>
    </row>
    <row r="73" spans="1:18">
      <c r="A73" s="256" t="s">
        <v>269</v>
      </c>
      <c r="B73" s="23" t="str">
        <f t="shared" si="0"/>
        <v>Wattles</v>
      </c>
      <c r="C73" s="137"/>
      <c r="D73" s="24" t="str">
        <f t="shared" si="1"/>
        <v>lf</v>
      </c>
      <c r="E73" s="232">
        <f t="shared" si="2"/>
        <v>3.7</v>
      </c>
      <c r="F73" s="225">
        <f t="shared" si="3"/>
        <v>500</v>
      </c>
      <c r="G73" s="227"/>
      <c r="H73" s="227">
        <v>74</v>
      </c>
      <c r="I73" s="167">
        <f t="shared" si="7"/>
        <v>426</v>
      </c>
      <c r="J73" s="162">
        <f t="shared" si="4"/>
        <v>1850</v>
      </c>
      <c r="K73" s="162">
        <f t="shared" si="5"/>
        <v>0</v>
      </c>
      <c r="L73" s="162">
        <f t="shared" si="6"/>
        <v>273.8</v>
      </c>
      <c r="M73" s="162">
        <f t="shared" si="8"/>
        <v>1576.2</v>
      </c>
      <c r="N73" s="180"/>
      <c r="P73" s="165"/>
      <c r="R73" s="162">
        <f>L73-'PAY EST 3'!L72</f>
        <v>0</v>
      </c>
    </row>
    <row r="74" spans="1:18">
      <c r="A74" s="256" t="s">
        <v>270</v>
      </c>
      <c r="B74" s="23" t="str">
        <f t="shared" ref="B74:B108" si="14">VLOOKUP($A74,BIDTAB,2,FALSE)</f>
        <v>Inlet Protection Device</v>
      </c>
      <c r="C74" s="137"/>
      <c r="D74" s="24" t="str">
        <f t="shared" ref="D74:D108" si="15">VLOOKUP($A74,BIDTAB,3,FALSE)</f>
        <v>ea</v>
      </c>
      <c r="E74" s="233">
        <f t="shared" ref="E74:E108" si="16">VLOOKUP($A74,BIDTAB,7,FALSE)</f>
        <v>210</v>
      </c>
      <c r="F74" s="225">
        <f t="shared" ref="F74:F108" si="17">VLOOKUP($A74,BIDTAB,4,FALSE)</f>
        <v>17</v>
      </c>
      <c r="G74" s="227"/>
      <c r="H74" s="227">
        <v>4</v>
      </c>
      <c r="I74" s="167">
        <f t="shared" si="7"/>
        <v>13</v>
      </c>
      <c r="J74" s="162">
        <f t="shared" ref="J74:J77" si="18">IF(ISERROR(F74*E74),0,F74*E74)</f>
        <v>3570</v>
      </c>
      <c r="K74" s="162">
        <f t="shared" ref="K74:K77" si="19">IF(ISERROR(G74*E74),0,G74*E74)</f>
        <v>0</v>
      </c>
      <c r="L74" s="162">
        <f t="shared" ref="L74:L77" si="20">IF(ISERROR(H74*E74),0,H74*E74)</f>
        <v>840</v>
      </c>
      <c r="M74" s="162">
        <f t="shared" si="8"/>
        <v>2730</v>
      </c>
      <c r="N74" s="180"/>
      <c r="P74" s="165"/>
      <c r="R74" s="162">
        <f>L74-'PAY EST 3'!L73</f>
        <v>0</v>
      </c>
    </row>
    <row r="75" spans="1:18">
      <c r="A75" s="256" t="s">
        <v>271</v>
      </c>
      <c r="B75" s="23" t="str">
        <f t="shared" si="14"/>
        <v>Inlet Protection Device, Maintenance</v>
      </c>
      <c r="C75" s="137"/>
      <c r="D75" s="24" t="str">
        <f t="shared" si="15"/>
        <v>ea</v>
      </c>
      <c r="E75" s="233">
        <f t="shared" si="16"/>
        <v>52.5</v>
      </c>
      <c r="F75" s="225">
        <f t="shared" si="17"/>
        <v>17</v>
      </c>
      <c r="G75" s="227"/>
      <c r="H75" s="227">
        <v>12</v>
      </c>
      <c r="I75" s="167">
        <f t="shared" ref="I75:I108" si="21">IF(ISBLANK(G75),F75,F75+G75)-H75</f>
        <v>5</v>
      </c>
      <c r="J75" s="162">
        <f t="shared" si="18"/>
        <v>892.5</v>
      </c>
      <c r="K75" s="162">
        <f t="shared" si="19"/>
        <v>0</v>
      </c>
      <c r="L75" s="162">
        <f t="shared" si="20"/>
        <v>630</v>
      </c>
      <c r="M75" s="162">
        <f t="shared" ref="M75:M77" si="22">SUM(J75:K75)-L75</f>
        <v>262.5</v>
      </c>
      <c r="N75" s="180"/>
      <c r="P75" s="165"/>
      <c r="R75" s="162">
        <f>L75-'PAY EST 3'!L74</f>
        <v>420</v>
      </c>
    </row>
    <row r="76" spans="1:18">
      <c r="A76" s="256" t="s">
        <v>272</v>
      </c>
      <c r="B76" s="23" t="str">
        <f t="shared" si="14"/>
        <v>Modular Block Retaining Wall</v>
      </c>
      <c r="C76" s="137"/>
      <c r="D76" s="24" t="str">
        <f t="shared" si="15"/>
        <v>sf</v>
      </c>
      <c r="E76" s="233">
        <f t="shared" si="16"/>
        <v>70.349999999999994</v>
      </c>
      <c r="F76" s="225">
        <f t="shared" si="17"/>
        <v>60</v>
      </c>
      <c r="G76" s="227"/>
      <c r="H76" s="227">
        <v>27</v>
      </c>
      <c r="I76" s="167">
        <f t="shared" si="21"/>
        <v>33</v>
      </c>
      <c r="J76" s="162">
        <f t="shared" si="18"/>
        <v>4221</v>
      </c>
      <c r="K76" s="162">
        <f t="shared" si="19"/>
        <v>0</v>
      </c>
      <c r="L76" s="162">
        <f t="shared" si="20"/>
        <v>1899.4499999999998</v>
      </c>
      <c r="M76" s="162">
        <f t="shared" si="22"/>
        <v>2321.5500000000002</v>
      </c>
      <c r="N76" s="180"/>
      <c r="P76" s="165"/>
      <c r="R76" s="162">
        <f>L76-'PAY EST 3'!L75</f>
        <v>1899.4499999999998</v>
      </c>
    </row>
    <row r="77" spans="1:18">
      <c r="A77" s="256"/>
      <c r="B77" s="23" t="e">
        <f t="shared" si="14"/>
        <v>#N/A</v>
      </c>
      <c r="C77" s="137"/>
      <c r="D77" s="24" t="e">
        <f t="shared" si="15"/>
        <v>#N/A</v>
      </c>
      <c r="E77" s="232" t="e">
        <f t="shared" si="16"/>
        <v>#N/A</v>
      </c>
      <c r="F77" s="225" t="e">
        <f t="shared" si="17"/>
        <v>#N/A</v>
      </c>
      <c r="G77" s="227"/>
      <c r="H77" s="227"/>
      <c r="I77" s="167" t="e">
        <f t="shared" si="21"/>
        <v>#N/A</v>
      </c>
      <c r="J77" s="162">
        <f t="shared" si="18"/>
        <v>0</v>
      </c>
      <c r="K77" s="162">
        <f t="shared" si="19"/>
        <v>0</v>
      </c>
      <c r="L77" s="162">
        <f t="shared" si="20"/>
        <v>0</v>
      </c>
      <c r="M77" s="162">
        <f t="shared" si="22"/>
        <v>0</v>
      </c>
      <c r="N77" s="180"/>
      <c r="P77" s="165"/>
      <c r="R77" s="162">
        <f>L77-'PAY EST 3'!L76</f>
        <v>0</v>
      </c>
    </row>
    <row r="78" spans="1:18">
      <c r="A78" s="256" t="s">
        <v>273</v>
      </c>
      <c r="B78" s="23" t="str">
        <f t="shared" si="14"/>
        <v>Construction Survey/Staking</v>
      </c>
      <c r="C78" s="137"/>
      <c r="D78" s="24" t="str">
        <f t="shared" si="15"/>
        <v>ls</v>
      </c>
      <c r="E78" s="232">
        <f t="shared" si="16"/>
        <v>16065</v>
      </c>
      <c r="F78" s="225">
        <f t="shared" si="17"/>
        <v>1</v>
      </c>
      <c r="G78" s="227"/>
      <c r="H78" s="227">
        <v>0.6</v>
      </c>
      <c r="I78" s="167">
        <f t="shared" si="21"/>
        <v>0.4</v>
      </c>
      <c r="J78" s="162">
        <f>IF(ISERROR(F78*E78),0,F78*E78)</f>
        <v>16065</v>
      </c>
      <c r="K78" s="162">
        <f>IF(ISERROR(G78*E78),0,G78*E78)</f>
        <v>0</v>
      </c>
      <c r="L78" s="162">
        <f>IF(ISERROR(H78*E78),0,H78*E78)</f>
        <v>9639</v>
      </c>
      <c r="M78" s="162">
        <f t="shared" ref="M78:M108" si="23">SUM(J78:K78)-L78</f>
        <v>6426</v>
      </c>
      <c r="N78" s="180"/>
      <c r="P78" s="165"/>
      <c r="R78" s="162">
        <f>L78-'PAY EST 3'!L77</f>
        <v>3213</v>
      </c>
    </row>
    <row r="79" spans="1:18">
      <c r="A79" s="256" t="s">
        <v>274</v>
      </c>
      <c r="B79" s="23" t="str">
        <f t="shared" si="14"/>
        <v>Pedestrian Facility Construction Survey &amp; Staking</v>
      </c>
      <c r="C79" s="137"/>
      <c r="D79" s="24" t="str">
        <f t="shared" si="15"/>
        <v>ea</v>
      </c>
      <c r="E79" s="232">
        <f t="shared" si="16"/>
        <v>275</v>
      </c>
      <c r="F79" s="225">
        <f t="shared" si="17"/>
        <v>13</v>
      </c>
      <c r="G79" s="227"/>
      <c r="H79" s="227">
        <v>0</v>
      </c>
      <c r="I79" s="167">
        <f t="shared" si="21"/>
        <v>13</v>
      </c>
      <c r="J79" s="162">
        <f t="shared" ref="J79:J108" si="24">IF(ISERROR(F79*E79),0,F79*E79)</f>
        <v>3575</v>
      </c>
      <c r="K79" s="162">
        <f t="shared" ref="K79:K108" si="25">IF(ISERROR(G79*E79),0,G79*E79)</f>
        <v>0</v>
      </c>
      <c r="L79" s="162">
        <f t="shared" ref="L79:L108" si="26">IF(ISERROR(H79*E79),0,H79*E79)</f>
        <v>0</v>
      </c>
      <c r="M79" s="162">
        <f t="shared" si="23"/>
        <v>3575</v>
      </c>
      <c r="N79" s="180"/>
      <c r="P79" s="165"/>
      <c r="R79" s="162">
        <f>L79-'PAY EST 3'!L78</f>
        <v>0</v>
      </c>
    </row>
    <row r="80" spans="1:18">
      <c r="A80" s="256" t="s">
        <v>275</v>
      </c>
      <c r="B80" s="23" t="str">
        <f t="shared" si="14"/>
        <v>Monument Preservation or Replacement</v>
      </c>
      <c r="C80" s="137"/>
      <c r="D80" s="24" t="str">
        <f t="shared" si="15"/>
        <v>ls</v>
      </c>
      <c r="E80" s="231">
        <f t="shared" si="16"/>
        <v>2310</v>
      </c>
      <c r="F80" s="225">
        <f t="shared" si="17"/>
        <v>1</v>
      </c>
      <c r="G80" s="227"/>
      <c r="H80" s="227">
        <v>0</v>
      </c>
      <c r="I80" s="167">
        <f t="shared" si="21"/>
        <v>1</v>
      </c>
      <c r="J80" s="162">
        <f t="shared" si="24"/>
        <v>2310</v>
      </c>
      <c r="K80" s="162">
        <f t="shared" si="25"/>
        <v>0</v>
      </c>
      <c r="L80" s="162">
        <f t="shared" si="26"/>
        <v>0</v>
      </c>
      <c r="M80" s="162">
        <f t="shared" si="23"/>
        <v>2310</v>
      </c>
      <c r="N80" s="180"/>
      <c r="P80" s="165"/>
      <c r="R80" s="162">
        <f>L80-'PAY EST 3'!L79</f>
        <v>0</v>
      </c>
    </row>
    <row r="81" spans="1:18">
      <c r="A81" s="256" t="s">
        <v>276</v>
      </c>
      <c r="B81" s="23" t="str">
        <f t="shared" si="14"/>
        <v>Mobilization</v>
      </c>
      <c r="C81" s="137"/>
      <c r="D81" s="24" t="str">
        <f t="shared" si="15"/>
        <v>ls</v>
      </c>
      <c r="E81" s="231">
        <f t="shared" si="16"/>
        <v>35000</v>
      </c>
      <c r="F81" s="225">
        <f t="shared" si="17"/>
        <v>1</v>
      </c>
      <c r="G81" s="227"/>
      <c r="H81" s="227">
        <v>0.5</v>
      </c>
      <c r="I81" s="167">
        <f t="shared" si="21"/>
        <v>0.5</v>
      </c>
      <c r="J81" s="162">
        <f t="shared" si="24"/>
        <v>35000</v>
      </c>
      <c r="K81" s="162">
        <f t="shared" si="25"/>
        <v>0</v>
      </c>
      <c r="L81" s="162">
        <f t="shared" si="26"/>
        <v>17500</v>
      </c>
      <c r="M81" s="162">
        <f t="shared" si="23"/>
        <v>17500</v>
      </c>
      <c r="N81" s="180"/>
      <c r="P81" s="165"/>
      <c r="R81" s="162">
        <f>L81-'PAY EST 3'!L80</f>
        <v>7000</v>
      </c>
    </row>
    <row r="82" spans="1:18">
      <c r="A82" s="256" t="s">
        <v>277</v>
      </c>
      <c r="B82" s="23" t="str">
        <f t="shared" si="14"/>
        <v>Concrete Washout</v>
      </c>
      <c r="C82" s="137"/>
      <c r="D82" s="24" t="str">
        <f t="shared" si="15"/>
        <v>ls</v>
      </c>
      <c r="E82" s="231">
        <f t="shared" si="16"/>
        <v>3900</v>
      </c>
      <c r="F82" s="225">
        <f t="shared" si="17"/>
        <v>1</v>
      </c>
      <c r="G82" s="227"/>
      <c r="H82" s="227">
        <v>0.25</v>
      </c>
      <c r="I82" s="167">
        <f t="shared" si="21"/>
        <v>0.75</v>
      </c>
      <c r="J82" s="162">
        <f t="shared" si="24"/>
        <v>3900</v>
      </c>
      <c r="K82" s="162">
        <f t="shared" si="25"/>
        <v>0</v>
      </c>
      <c r="L82" s="162">
        <f t="shared" si="26"/>
        <v>975</v>
      </c>
      <c r="M82" s="162">
        <f t="shared" si="23"/>
        <v>2925</v>
      </c>
      <c r="N82" s="180"/>
      <c r="P82" s="165"/>
      <c r="R82" s="162">
        <f>L82-'PAY EST 3'!L81</f>
        <v>975</v>
      </c>
    </row>
    <row r="83" spans="1:18">
      <c r="A83" s="256"/>
      <c r="B83" s="23" t="e">
        <f t="shared" si="14"/>
        <v>#N/A</v>
      </c>
      <c r="C83" s="137"/>
      <c r="D83" s="24" t="e">
        <f t="shared" si="15"/>
        <v>#N/A</v>
      </c>
      <c r="E83" s="231" t="e">
        <f t="shared" si="16"/>
        <v>#N/A</v>
      </c>
      <c r="F83" s="225" t="e">
        <f t="shared" si="17"/>
        <v>#N/A</v>
      </c>
      <c r="G83" s="227"/>
      <c r="H83" s="227"/>
      <c r="I83" s="167" t="e">
        <f t="shared" si="21"/>
        <v>#N/A</v>
      </c>
      <c r="J83" s="162">
        <f t="shared" si="24"/>
        <v>0</v>
      </c>
      <c r="K83" s="162">
        <f t="shared" si="25"/>
        <v>0</v>
      </c>
      <c r="L83" s="162">
        <f t="shared" si="26"/>
        <v>0</v>
      </c>
      <c r="M83" s="162">
        <f t="shared" si="23"/>
        <v>0</v>
      </c>
      <c r="N83" s="180"/>
      <c r="P83" s="165"/>
      <c r="R83" s="354">
        <f>L83-'PAY EST 3'!L82</f>
        <v>0</v>
      </c>
    </row>
    <row r="84" spans="1:18" hidden="1">
      <c r="A84" s="256"/>
      <c r="B84" s="23" t="e">
        <f t="shared" si="14"/>
        <v>#N/A</v>
      </c>
      <c r="C84" s="137"/>
      <c r="D84" s="24" t="e">
        <f t="shared" si="15"/>
        <v>#N/A</v>
      </c>
      <c r="E84" s="231" t="e">
        <f t="shared" si="16"/>
        <v>#N/A</v>
      </c>
      <c r="F84" s="225" t="e">
        <f t="shared" si="17"/>
        <v>#N/A</v>
      </c>
      <c r="G84" s="227"/>
      <c r="H84" s="227"/>
      <c r="I84" s="167" t="e">
        <f t="shared" si="21"/>
        <v>#N/A</v>
      </c>
      <c r="J84" s="162">
        <f t="shared" si="24"/>
        <v>0</v>
      </c>
      <c r="K84" s="162">
        <f t="shared" si="25"/>
        <v>0</v>
      </c>
      <c r="L84" s="162">
        <f t="shared" si="26"/>
        <v>0</v>
      </c>
      <c r="M84" s="162">
        <f t="shared" si="23"/>
        <v>0</v>
      </c>
      <c r="N84" s="180"/>
      <c r="P84" s="165"/>
      <c r="R84" s="354">
        <f>L84-'PAY EST 3'!L83</f>
        <v>0</v>
      </c>
    </row>
    <row r="85" spans="1:18" hidden="1">
      <c r="A85" s="256"/>
      <c r="B85" s="23" t="e">
        <f t="shared" si="14"/>
        <v>#N/A</v>
      </c>
      <c r="C85" s="137"/>
      <c r="D85" s="24" t="e">
        <f t="shared" si="15"/>
        <v>#N/A</v>
      </c>
      <c r="E85" s="231" t="e">
        <f t="shared" si="16"/>
        <v>#N/A</v>
      </c>
      <c r="F85" s="225" t="e">
        <f t="shared" si="17"/>
        <v>#N/A</v>
      </c>
      <c r="G85" s="227"/>
      <c r="H85" s="227"/>
      <c r="I85" s="167" t="e">
        <f t="shared" si="21"/>
        <v>#N/A</v>
      </c>
      <c r="J85" s="162">
        <f t="shared" si="24"/>
        <v>0</v>
      </c>
      <c r="K85" s="162">
        <f t="shared" si="25"/>
        <v>0</v>
      </c>
      <c r="L85" s="162">
        <f t="shared" si="26"/>
        <v>0</v>
      </c>
      <c r="M85" s="162">
        <f t="shared" si="23"/>
        <v>0</v>
      </c>
      <c r="N85" s="180"/>
      <c r="P85" s="165"/>
      <c r="R85" s="354">
        <f>L85-'PAY EST 3'!L84</f>
        <v>0</v>
      </c>
    </row>
    <row r="86" spans="1:18" hidden="1">
      <c r="A86" s="256"/>
      <c r="B86" s="23" t="e">
        <f t="shared" si="14"/>
        <v>#N/A</v>
      </c>
      <c r="C86" s="137"/>
      <c r="D86" s="24" t="e">
        <f t="shared" si="15"/>
        <v>#N/A</v>
      </c>
      <c r="E86" s="231" t="e">
        <f t="shared" si="16"/>
        <v>#N/A</v>
      </c>
      <c r="F86" s="225" t="e">
        <f t="shared" si="17"/>
        <v>#N/A</v>
      </c>
      <c r="G86" s="227"/>
      <c r="H86" s="227"/>
      <c r="I86" s="167" t="e">
        <f t="shared" si="21"/>
        <v>#N/A</v>
      </c>
      <c r="J86" s="162">
        <f t="shared" si="24"/>
        <v>0</v>
      </c>
      <c r="K86" s="162">
        <f t="shared" si="25"/>
        <v>0</v>
      </c>
      <c r="L86" s="162">
        <f t="shared" si="26"/>
        <v>0</v>
      </c>
      <c r="M86" s="162">
        <f t="shared" si="23"/>
        <v>0</v>
      </c>
      <c r="N86" s="180"/>
      <c r="P86" s="165"/>
      <c r="R86" s="354">
        <f>L86-'PAY EST 3'!L85</f>
        <v>0</v>
      </c>
    </row>
    <row r="87" spans="1:18" hidden="1">
      <c r="A87" s="256"/>
      <c r="B87" s="23" t="e">
        <f t="shared" si="14"/>
        <v>#N/A</v>
      </c>
      <c r="C87" s="137"/>
      <c r="D87" s="24" t="e">
        <f t="shared" si="15"/>
        <v>#N/A</v>
      </c>
      <c r="E87" s="231" t="e">
        <f t="shared" si="16"/>
        <v>#N/A</v>
      </c>
      <c r="F87" s="225" t="e">
        <f t="shared" si="17"/>
        <v>#N/A</v>
      </c>
      <c r="G87" s="227"/>
      <c r="H87" s="227"/>
      <c r="I87" s="167" t="e">
        <f t="shared" si="21"/>
        <v>#N/A</v>
      </c>
      <c r="J87" s="162">
        <f t="shared" si="24"/>
        <v>0</v>
      </c>
      <c r="K87" s="162">
        <f t="shared" si="25"/>
        <v>0</v>
      </c>
      <c r="L87" s="162">
        <f t="shared" si="26"/>
        <v>0</v>
      </c>
      <c r="M87" s="162">
        <f t="shared" si="23"/>
        <v>0</v>
      </c>
      <c r="N87" s="180"/>
      <c r="P87" s="165"/>
      <c r="R87" s="354">
        <f>L87-'PAY EST 3'!L86</f>
        <v>0</v>
      </c>
    </row>
    <row r="88" spans="1:18" hidden="1">
      <c r="A88" s="256"/>
      <c r="B88" s="23" t="e">
        <f t="shared" si="14"/>
        <v>#N/A</v>
      </c>
      <c r="C88" s="137"/>
      <c r="D88" s="24" t="e">
        <f t="shared" si="15"/>
        <v>#N/A</v>
      </c>
      <c r="E88" s="231" t="e">
        <f t="shared" si="16"/>
        <v>#N/A</v>
      </c>
      <c r="F88" s="225" t="e">
        <f t="shared" si="17"/>
        <v>#N/A</v>
      </c>
      <c r="G88" s="227"/>
      <c r="H88" s="227"/>
      <c r="I88" s="167" t="e">
        <f t="shared" si="21"/>
        <v>#N/A</v>
      </c>
      <c r="J88" s="162">
        <f t="shared" si="24"/>
        <v>0</v>
      </c>
      <c r="K88" s="162">
        <f t="shared" si="25"/>
        <v>0</v>
      </c>
      <c r="L88" s="162">
        <f t="shared" si="26"/>
        <v>0</v>
      </c>
      <c r="M88" s="162">
        <f t="shared" si="23"/>
        <v>0</v>
      </c>
      <c r="N88" s="180"/>
      <c r="P88" s="165"/>
      <c r="R88" s="354">
        <f>L88-'PAY EST 3'!L87</f>
        <v>0</v>
      </c>
    </row>
    <row r="89" spans="1:18" hidden="1">
      <c r="A89" s="256"/>
      <c r="B89" s="23" t="e">
        <f t="shared" si="14"/>
        <v>#N/A</v>
      </c>
      <c r="C89" s="137"/>
      <c r="D89" s="24" t="e">
        <f t="shared" si="15"/>
        <v>#N/A</v>
      </c>
      <c r="E89" s="231" t="e">
        <f t="shared" si="16"/>
        <v>#N/A</v>
      </c>
      <c r="F89" s="225" t="e">
        <f t="shared" si="17"/>
        <v>#N/A</v>
      </c>
      <c r="G89" s="227"/>
      <c r="H89" s="227"/>
      <c r="I89" s="167" t="e">
        <f t="shared" si="21"/>
        <v>#N/A</v>
      </c>
      <c r="J89" s="162">
        <f t="shared" si="24"/>
        <v>0</v>
      </c>
      <c r="K89" s="162">
        <f t="shared" si="25"/>
        <v>0</v>
      </c>
      <c r="L89" s="162">
        <f t="shared" si="26"/>
        <v>0</v>
      </c>
      <c r="M89" s="162">
        <f t="shared" si="23"/>
        <v>0</v>
      </c>
      <c r="N89" s="180"/>
      <c r="P89" s="165"/>
      <c r="R89" s="354">
        <f>L89-'PAY EST 3'!L88</f>
        <v>0</v>
      </c>
    </row>
    <row r="90" spans="1:18" hidden="1">
      <c r="A90" s="256"/>
      <c r="B90" s="23" t="e">
        <f t="shared" si="14"/>
        <v>#N/A</v>
      </c>
      <c r="C90" s="137"/>
      <c r="D90" s="24" t="e">
        <f t="shared" si="15"/>
        <v>#N/A</v>
      </c>
      <c r="E90" s="231" t="e">
        <f t="shared" si="16"/>
        <v>#N/A</v>
      </c>
      <c r="F90" s="225" t="e">
        <f t="shared" si="17"/>
        <v>#N/A</v>
      </c>
      <c r="G90" s="227"/>
      <c r="H90" s="227"/>
      <c r="I90" s="167" t="e">
        <f t="shared" si="21"/>
        <v>#N/A</v>
      </c>
      <c r="J90" s="162">
        <f t="shared" si="24"/>
        <v>0</v>
      </c>
      <c r="K90" s="162">
        <f t="shared" si="25"/>
        <v>0</v>
      </c>
      <c r="L90" s="162">
        <f t="shared" si="26"/>
        <v>0</v>
      </c>
      <c r="M90" s="162">
        <f t="shared" si="23"/>
        <v>0</v>
      </c>
      <c r="N90" s="180"/>
      <c r="P90" s="165"/>
      <c r="R90" s="354">
        <f>L90-'PAY EST 3'!L89</f>
        <v>0</v>
      </c>
    </row>
    <row r="91" spans="1:18" hidden="1">
      <c r="A91" s="256"/>
      <c r="B91" s="23" t="e">
        <f t="shared" si="14"/>
        <v>#N/A</v>
      </c>
      <c r="C91" s="137"/>
      <c r="D91" s="24" t="e">
        <f t="shared" si="15"/>
        <v>#N/A</v>
      </c>
      <c r="E91" s="231" t="e">
        <f t="shared" si="16"/>
        <v>#N/A</v>
      </c>
      <c r="F91" s="225" t="e">
        <f t="shared" si="17"/>
        <v>#N/A</v>
      </c>
      <c r="G91" s="227"/>
      <c r="H91" s="227"/>
      <c r="I91" s="167" t="e">
        <f t="shared" si="21"/>
        <v>#N/A</v>
      </c>
      <c r="J91" s="162">
        <f t="shared" si="24"/>
        <v>0</v>
      </c>
      <c r="K91" s="162">
        <f t="shared" si="25"/>
        <v>0</v>
      </c>
      <c r="L91" s="162">
        <f t="shared" si="26"/>
        <v>0</v>
      </c>
      <c r="M91" s="162">
        <f t="shared" si="23"/>
        <v>0</v>
      </c>
      <c r="N91" s="180"/>
      <c r="P91" s="165"/>
      <c r="R91" s="354">
        <f>L91-'PAY EST 3'!L90</f>
        <v>0</v>
      </c>
    </row>
    <row r="92" spans="1:18" hidden="1">
      <c r="A92" s="256"/>
      <c r="B92" s="23" t="e">
        <f t="shared" si="14"/>
        <v>#N/A</v>
      </c>
      <c r="C92" s="137"/>
      <c r="D92" s="24" t="e">
        <f t="shared" si="15"/>
        <v>#N/A</v>
      </c>
      <c r="E92" s="231" t="e">
        <f t="shared" si="16"/>
        <v>#N/A</v>
      </c>
      <c r="F92" s="225" t="e">
        <f t="shared" si="17"/>
        <v>#N/A</v>
      </c>
      <c r="G92" s="227"/>
      <c r="H92" s="227"/>
      <c r="I92" s="167" t="e">
        <f t="shared" si="21"/>
        <v>#N/A</v>
      </c>
      <c r="J92" s="162">
        <f t="shared" si="24"/>
        <v>0</v>
      </c>
      <c r="K92" s="162">
        <f t="shared" si="25"/>
        <v>0</v>
      </c>
      <c r="L92" s="162">
        <f t="shared" si="26"/>
        <v>0</v>
      </c>
      <c r="M92" s="162">
        <f t="shared" si="23"/>
        <v>0</v>
      </c>
      <c r="N92" s="180"/>
      <c r="P92" s="165"/>
      <c r="R92" s="354">
        <f>L92-'PAY EST 3'!L91</f>
        <v>0</v>
      </c>
    </row>
    <row r="93" spans="1:18" hidden="1">
      <c r="A93" s="256"/>
      <c r="B93" s="23" t="e">
        <f t="shared" si="14"/>
        <v>#N/A</v>
      </c>
      <c r="C93" s="137"/>
      <c r="D93" s="24" t="e">
        <f t="shared" si="15"/>
        <v>#N/A</v>
      </c>
      <c r="E93" s="231" t="e">
        <f t="shared" si="16"/>
        <v>#N/A</v>
      </c>
      <c r="F93" s="225" t="e">
        <f t="shared" si="17"/>
        <v>#N/A</v>
      </c>
      <c r="G93" s="227"/>
      <c r="H93" s="227"/>
      <c r="I93" s="167" t="e">
        <f t="shared" si="21"/>
        <v>#N/A</v>
      </c>
      <c r="J93" s="162">
        <f t="shared" si="24"/>
        <v>0</v>
      </c>
      <c r="K93" s="162">
        <f t="shared" si="25"/>
        <v>0</v>
      </c>
      <c r="L93" s="162">
        <f t="shared" si="26"/>
        <v>0</v>
      </c>
      <c r="M93" s="162">
        <f t="shared" si="23"/>
        <v>0</v>
      </c>
      <c r="N93" s="180"/>
      <c r="P93" s="165"/>
      <c r="R93" s="354">
        <f>L93-'PAY EST 3'!L92</f>
        <v>0</v>
      </c>
    </row>
    <row r="94" spans="1:18" hidden="1">
      <c r="A94" s="256"/>
      <c r="B94" s="23" t="e">
        <f t="shared" si="14"/>
        <v>#N/A</v>
      </c>
      <c r="C94" s="137"/>
      <c r="D94" s="24" t="e">
        <f t="shared" si="15"/>
        <v>#N/A</v>
      </c>
      <c r="E94" s="231" t="e">
        <f t="shared" si="16"/>
        <v>#N/A</v>
      </c>
      <c r="F94" s="225" t="e">
        <f t="shared" si="17"/>
        <v>#N/A</v>
      </c>
      <c r="G94" s="227"/>
      <c r="H94" s="227"/>
      <c r="I94" s="167" t="e">
        <f t="shared" si="21"/>
        <v>#N/A</v>
      </c>
      <c r="J94" s="162">
        <f t="shared" si="24"/>
        <v>0</v>
      </c>
      <c r="K94" s="162">
        <f t="shared" si="25"/>
        <v>0</v>
      </c>
      <c r="L94" s="162">
        <f t="shared" si="26"/>
        <v>0</v>
      </c>
      <c r="M94" s="162">
        <f t="shared" si="23"/>
        <v>0</v>
      </c>
      <c r="N94" s="180"/>
      <c r="P94" s="165"/>
      <c r="R94" s="354">
        <f>L94-'PAY EST 3'!L93</f>
        <v>0</v>
      </c>
    </row>
    <row r="95" spans="1:18" hidden="1">
      <c r="A95" s="256"/>
      <c r="B95" s="23" t="e">
        <f t="shared" si="14"/>
        <v>#N/A</v>
      </c>
      <c r="C95" s="137"/>
      <c r="D95" s="24" t="e">
        <f t="shared" si="15"/>
        <v>#N/A</v>
      </c>
      <c r="E95" s="231" t="e">
        <f t="shared" si="16"/>
        <v>#N/A</v>
      </c>
      <c r="F95" s="225" t="e">
        <f t="shared" si="17"/>
        <v>#N/A</v>
      </c>
      <c r="G95" s="227"/>
      <c r="H95" s="227"/>
      <c r="I95" s="167" t="e">
        <f t="shared" si="21"/>
        <v>#N/A</v>
      </c>
      <c r="J95" s="162">
        <f t="shared" si="24"/>
        <v>0</v>
      </c>
      <c r="K95" s="162">
        <f t="shared" si="25"/>
        <v>0</v>
      </c>
      <c r="L95" s="162">
        <f t="shared" si="26"/>
        <v>0</v>
      </c>
      <c r="M95" s="162">
        <f t="shared" si="23"/>
        <v>0</v>
      </c>
      <c r="N95" s="180"/>
      <c r="P95" s="165"/>
      <c r="R95" s="354">
        <f>L95-'PAY EST 3'!L94</f>
        <v>0</v>
      </c>
    </row>
    <row r="96" spans="1:18" hidden="1">
      <c r="A96" s="256"/>
      <c r="B96" s="23" t="e">
        <f t="shared" si="14"/>
        <v>#N/A</v>
      </c>
      <c r="C96" s="137"/>
      <c r="D96" s="24" t="e">
        <f t="shared" si="15"/>
        <v>#N/A</v>
      </c>
      <c r="E96" s="231" t="e">
        <f t="shared" si="16"/>
        <v>#N/A</v>
      </c>
      <c r="F96" s="225" t="e">
        <f t="shared" si="17"/>
        <v>#N/A</v>
      </c>
      <c r="G96" s="227"/>
      <c r="H96" s="227"/>
      <c r="I96" s="167" t="e">
        <f t="shared" si="21"/>
        <v>#N/A</v>
      </c>
      <c r="J96" s="162">
        <f t="shared" si="24"/>
        <v>0</v>
      </c>
      <c r="K96" s="162">
        <f t="shared" si="25"/>
        <v>0</v>
      </c>
      <c r="L96" s="162">
        <f t="shared" si="26"/>
        <v>0</v>
      </c>
      <c r="M96" s="162">
        <f t="shared" si="23"/>
        <v>0</v>
      </c>
      <c r="N96" s="180"/>
      <c r="P96" s="165"/>
      <c r="R96" s="354">
        <f>L96-'PAY EST 3'!L95</f>
        <v>0</v>
      </c>
    </row>
    <row r="97" spans="1:19" hidden="1">
      <c r="A97" s="256"/>
      <c r="B97" s="23" t="e">
        <f t="shared" si="14"/>
        <v>#N/A</v>
      </c>
      <c r="C97" s="137"/>
      <c r="D97" s="24" t="e">
        <f t="shared" si="15"/>
        <v>#N/A</v>
      </c>
      <c r="E97" s="231" t="e">
        <f t="shared" si="16"/>
        <v>#N/A</v>
      </c>
      <c r="F97" s="225" t="e">
        <f t="shared" si="17"/>
        <v>#N/A</v>
      </c>
      <c r="G97" s="227"/>
      <c r="H97" s="227"/>
      <c r="I97" s="167" t="e">
        <f t="shared" si="21"/>
        <v>#N/A</v>
      </c>
      <c r="J97" s="162">
        <f t="shared" si="24"/>
        <v>0</v>
      </c>
      <c r="K97" s="162">
        <f t="shared" si="25"/>
        <v>0</v>
      </c>
      <c r="L97" s="162">
        <f t="shared" si="26"/>
        <v>0</v>
      </c>
      <c r="M97" s="162">
        <f t="shared" si="23"/>
        <v>0</v>
      </c>
      <c r="N97" s="180"/>
      <c r="P97" s="165"/>
      <c r="R97" s="354">
        <f>L97-'PAY EST 3'!L96</f>
        <v>0</v>
      </c>
    </row>
    <row r="98" spans="1:19" hidden="1">
      <c r="A98" s="256"/>
      <c r="B98" s="23" t="e">
        <f t="shared" si="14"/>
        <v>#N/A</v>
      </c>
      <c r="C98" s="137"/>
      <c r="D98" s="24" t="e">
        <f t="shared" si="15"/>
        <v>#N/A</v>
      </c>
      <c r="E98" s="231" t="e">
        <f t="shared" si="16"/>
        <v>#N/A</v>
      </c>
      <c r="F98" s="225" t="e">
        <f t="shared" si="17"/>
        <v>#N/A</v>
      </c>
      <c r="G98" s="227"/>
      <c r="H98" s="227"/>
      <c r="I98" s="167" t="e">
        <f t="shared" si="21"/>
        <v>#N/A</v>
      </c>
      <c r="J98" s="162">
        <f t="shared" si="24"/>
        <v>0</v>
      </c>
      <c r="K98" s="162">
        <f t="shared" si="25"/>
        <v>0</v>
      </c>
      <c r="L98" s="162">
        <f t="shared" si="26"/>
        <v>0</v>
      </c>
      <c r="M98" s="162">
        <f t="shared" si="23"/>
        <v>0</v>
      </c>
      <c r="N98" s="180"/>
      <c r="P98" s="165"/>
      <c r="R98" s="354">
        <f>L98-'PAY EST 3'!L97</f>
        <v>0</v>
      </c>
    </row>
    <row r="99" spans="1:19" hidden="1">
      <c r="A99" s="256"/>
      <c r="B99" s="23" t="e">
        <f t="shared" si="14"/>
        <v>#N/A</v>
      </c>
      <c r="C99" s="137"/>
      <c r="D99" s="24" t="e">
        <f t="shared" si="15"/>
        <v>#N/A</v>
      </c>
      <c r="E99" s="231" t="e">
        <f t="shared" si="16"/>
        <v>#N/A</v>
      </c>
      <c r="F99" s="225" t="e">
        <f t="shared" si="17"/>
        <v>#N/A</v>
      </c>
      <c r="G99" s="227"/>
      <c r="H99" s="227"/>
      <c r="I99" s="167" t="e">
        <f t="shared" si="21"/>
        <v>#N/A</v>
      </c>
      <c r="J99" s="162">
        <f t="shared" si="24"/>
        <v>0</v>
      </c>
      <c r="K99" s="162">
        <f t="shared" si="25"/>
        <v>0</v>
      </c>
      <c r="L99" s="162">
        <f t="shared" si="26"/>
        <v>0</v>
      </c>
      <c r="M99" s="162">
        <f t="shared" si="23"/>
        <v>0</v>
      </c>
      <c r="N99" s="180"/>
      <c r="P99" s="165"/>
      <c r="R99" s="354">
        <f>L99-'PAY EST 3'!L98</f>
        <v>0</v>
      </c>
    </row>
    <row r="100" spans="1:19" hidden="1">
      <c r="A100" s="256"/>
      <c r="B100" s="23" t="e">
        <f t="shared" si="14"/>
        <v>#N/A</v>
      </c>
      <c r="C100" s="137"/>
      <c r="D100" s="24" t="e">
        <f t="shared" si="15"/>
        <v>#N/A</v>
      </c>
      <c r="E100" s="231" t="e">
        <f t="shared" si="16"/>
        <v>#N/A</v>
      </c>
      <c r="F100" s="225" t="e">
        <f t="shared" si="17"/>
        <v>#N/A</v>
      </c>
      <c r="G100" s="227"/>
      <c r="H100" s="227"/>
      <c r="I100" s="167" t="e">
        <f t="shared" si="21"/>
        <v>#N/A</v>
      </c>
      <c r="J100" s="162">
        <f t="shared" si="24"/>
        <v>0</v>
      </c>
      <c r="K100" s="162">
        <f t="shared" si="25"/>
        <v>0</v>
      </c>
      <c r="L100" s="162">
        <f t="shared" si="26"/>
        <v>0</v>
      </c>
      <c r="M100" s="162">
        <f t="shared" si="23"/>
        <v>0</v>
      </c>
      <c r="N100" s="180"/>
      <c r="P100" s="165"/>
      <c r="R100" s="354">
        <f>L100-'PAY EST 3'!L99</f>
        <v>0</v>
      </c>
    </row>
    <row r="101" spans="1:19" hidden="1">
      <c r="A101" s="256"/>
      <c r="B101" s="23" t="e">
        <f t="shared" si="14"/>
        <v>#N/A</v>
      </c>
      <c r="C101" s="137"/>
      <c r="D101" s="24" t="e">
        <f t="shared" si="15"/>
        <v>#N/A</v>
      </c>
      <c r="E101" s="231" t="e">
        <f t="shared" si="16"/>
        <v>#N/A</v>
      </c>
      <c r="F101" s="225" t="e">
        <f t="shared" si="17"/>
        <v>#N/A</v>
      </c>
      <c r="G101" s="227"/>
      <c r="H101" s="227"/>
      <c r="I101" s="167" t="e">
        <f t="shared" si="21"/>
        <v>#N/A</v>
      </c>
      <c r="J101" s="162">
        <f t="shared" si="24"/>
        <v>0</v>
      </c>
      <c r="K101" s="162">
        <f t="shared" si="25"/>
        <v>0</v>
      </c>
      <c r="L101" s="162">
        <f t="shared" si="26"/>
        <v>0</v>
      </c>
      <c r="M101" s="162">
        <f t="shared" si="23"/>
        <v>0</v>
      </c>
      <c r="N101" s="180"/>
      <c r="P101" s="165"/>
      <c r="R101" s="354">
        <f>L101-'PAY EST 3'!L100</f>
        <v>0</v>
      </c>
    </row>
    <row r="102" spans="1:19" hidden="1">
      <c r="A102" s="256"/>
      <c r="B102" s="23" t="e">
        <f t="shared" si="14"/>
        <v>#N/A</v>
      </c>
      <c r="C102" s="137"/>
      <c r="D102" s="24" t="e">
        <f t="shared" si="15"/>
        <v>#N/A</v>
      </c>
      <c r="E102" s="231" t="e">
        <f t="shared" si="16"/>
        <v>#N/A</v>
      </c>
      <c r="F102" s="225" t="e">
        <f t="shared" si="17"/>
        <v>#N/A</v>
      </c>
      <c r="G102" s="227"/>
      <c r="H102" s="227"/>
      <c r="I102" s="167" t="e">
        <f t="shared" si="21"/>
        <v>#N/A</v>
      </c>
      <c r="J102" s="162">
        <f t="shared" si="24"/>
        <v>0</v>
      </c>
      <c r="K102" s="162">
        <f t="shared" si="25"/>
        <v>0</v>
      </c>
      <c r="L102" s="162">
        <f t="shared" si="26"/>
        <v>0</v>
      </c>
      <c r="M102" s="162">
        <f t="shared" si="23"/>
        <v>0</v>
      </c>
      <c r="N102" s="180"/>
      <c r="P102" s="165"/>
      <c r="R102" s="354">
        <f>L102-'PAY EST 3'!L101</f>
        <v>0</v>
      </c>
    </row>
    <row r="103" spans="1:19" hidden="1">
      <c r="A103" s="256"/>
      <c r="B103" s="23" t="e">
        <f t="shared" si="14"/>
        <v>#N/A</v>
      </c>
      <c r="C103" s="137"/>
      <c r="D103" s="24" t="e">
        <f t="shared" si="15"/>
        <v>#N/A</v>
      </c>
      <c r="E103" s="231" t="e">
        <f t="shared" si="16"/>
        <v>#N/A</v>
      </c>
      <c r="F103" s="225" t="e">
        <f t="shared" si="17"/>
        <v>#N/A</v>
      </c>
      <c r="G103" s="227"/>
      <c r="H103" s="227"/>
      <c r="I103" s="167" t="e">
        <f t="shared" si="21"/>
        <v>#N/A</v>
      </c>
      <c r="J103" s="162">
        <f t="shared" si="24"/>
        <v>0</v>
      </c>
      <c r="K103" s="162">
        <f t="shared" si="25"/>
        <v>0</v>
      </c>
      <c r="L103" s="162">
        <f t="shared" si="26"/>
        <v>0</v>
      </c>
      <c r="M103" s="162">
        <f t="shared" si="23"/>
        <v>0</v>
      </c>
      <c r="N103" s="180"/>
      <c r="P103" s="165"/>
      <c r="R103" s="354">
        <f>L103-'PAY EST 3'!L102</f>
        <v>0</v>
      </c>
    </row>
    <row r="104" spans="1:19" hidden="1">
      <c r="A104" s="256"/>
      <c r="B104" s="23" t="e">
        <f t="shared" si="14"/>
        <v>#N/A</v>
      </c>
      <c r="C104" s="137"/>
      <c r="D104" s="24" t="e">
        <f t="shared" si="15"/>
        <v>#N/A</v>
      </c>
      <c r="E104" s="231" t="e">
        <f t="shared" si="16"/>
        <v>#N/A</v>
      </c>
      <c r="F104" s="225" t="e">
        <f t="shared" si="17"/>
        <v>#N/A</v>
      </c>
      <c r="G104" s="227"/>
      <c r="H104" s="227"/>
      <c r="I104" s="167" t="e">
        <f t="shared" si="21"/>
        <v>#N/A</v>
      </c>
      <c r="J104" s="162">
        <f t="shared" si="24"/>
        <v>0</v>
      </c>
      <c r="K104" s="162">
        <f t="shared" si="25"/>
        <v>0</v>
      </c>
      <c r="L104" s="162">
        <f t="shared" si="26"/>
        <v>0</v>
      </c>
      <c r="M104" s="162">
        <f t="shared" si="23"/>
        <v>0</v>
      </c>
      <c r="N104" s="180"/>
      <c r="P104" s="165"/>
      <c r="R104" s="354">
        <f>L104-'PAY EST 3'!L103</f>
        <v>0</v>
      </c>
    </row>
    <row r="105" spans="1:19" hidden="1">
      <c r="A105" s="256"/>
      <c r="B105" s="23" t="e">
        <f t="shared" si="14"/>
        <v>#N/A</v>
      </c>
      <c r="C105" s="137"/>
      <c r="D105" s="24" t="e">
        <f t="shared" si="15"/>
        <v>#N/A</v>
      </c>
      <c r="E105" s="231" t="e">
        <f t="shared" si="16"/>
        <v>#N/A</v>
      </c>
      <c r="F105" s="225" t="e">
        <f t="shared" si="17"/>
        <v>#N/A</v>
      </c>
      <c r="G105" s="227"/>
      <c r="H105" s="227"/>
      <c r="I105" s="167" t="e">
        <f t="shared" si="21"/>
        <v>#N/A</v>
      </c>
      <c r="J105" s="162">
        <f t="shared" si="24"/>
        <v>0</v>
      </c>
      <c r="K105" s="162">
        <f t="shared" si="25"/>
        <v>0</v>
      </c>
      <c r="L105" s="162">
        <f t="shared" si="26"/>
        <v>0</v>
      </c>
      <c r="M105" s="162">
        <f t="shared" si="23"/>
        <v>0</v>
      </c>
      <c r="N105" s="180"/>
      <c r="P105" s="165"/>
      <c r="R105" s="354">
        <f>L105-'PAY EST 3'!L104</f>
        <v>0</v>
      </c>
    </row>
    <row r="106" spans="1:19" hidden="1">
      <c r="A106" s="256"/>
      <c r="B106" s="23" t="e">
        <f t="shared" si="14"/>
        <v>#N/A</v>
      </c>
      <c r="C106" s="137"/>
      <c r="D106" s="24" t="e">
        <f t="shared" si="15"/>
        <v>#N/A</v>
      </c>
      <c r="E106" s="231" t="e">
        <f t="shared" si="16"/>
        <v>#N/A</v>
      </c>
      <c r="F106" s="225" t="e">
        <f t="shared" si="17"/>
        <v>#N/A</v>
      </c>
      <c r="G106" s="227"/>
      <c r="H106" s="227"/>
      <c r="I106" s="167" t="e">
        <f t="shared" si="21"/>
        <v>#N/A</v>
      </c>
      <c r="J106" s="162">
        <f t="shared" si="24"/>
        <v>0</v>
      </c>
      <c r="K106" s="162">
        <f t="shared" si="25"/>
        <v>0</v>
      </c>
      <c r="L106" s="162">
        <f t="shared" si="26"/>
        <v>0</v>
      </c>
      <c r="M106" s="162">
        <f t="shared" si="23"/>
        <v>0</v>
      </c>
      <c r="N106" s="180"/>
      <c r="P106" s="165"/>
      <c r="R106" s="354">
        <f>L106-'PAY EST 3'!L105</f>
        <v>0</v>
      </c>
    </row>
    <row r="107" spans="1:19" hidden="1">
      <c r="A107" s="256"/>
      <c r="B107" s="23" t="e">
        <f t="shared" si="14"/>
        <v>#N/A</v>
      </c>
      <c r="C107" s="137"/>
      <c r="D107" s="24" t="e">
        <f t="shared" si="15"/>
        <v>#N/A</v>
      </c>
      <c r="E107" s="231" t="e">
        <f t="shared" si="16"/>
        <v>#N/A</v>
      </c>
      <c r="F107" s="225" t="e">
        <f t="shared" si="17"/>
        <v>#N/A</v>
      </c>
      <c r="G107" s="227"/>
      <c r="H107" s="227"/>
      <c r="I107" s="167" t="e">
        <f t="shared" si="21"/>
        <v>#N/A</v>
      </c>
      <c r="J107" s="162">
        <f t="shared" si="24"/>
        <v>0</v>
      </c>
      <c r="K107" s="162">
        <f t="shared" si="25"/>
        <v>0</v>
      </c>
      <c r="L107" s="162">
        <f t="shared" si="26"/>
        <v>0</v>
      </c>
      <c r="M107" s="162">
        <f t="shared" si="23"/>
        <v>0</v>
      </c>
      <c r="N107" s="180"/>
      <c r="P107" s="165"/>
      <c r="R107" s="354">
        <f>L107-'PAY EST 3'!L106</f>
        <v>0</v>
      </c>
    </row>
    <row r="108" spans="1:19" hidden="1">
      <c r="A108" s="256"/>
      <c r="B108" s="23" t="e">
        <f t="shared" si="14"/>
        <v>#N/A</v>
      </c>
      <c r="C108" s="137"/>
      <c r="D108" s="24" t="e">
        <f t="shared" si="15"/>
        <v>#N/A</v>
      </c>
      <c r="E108" s="231" t="e">
        <f t="shared" si="16"/>
        <v>#N/A</v>
      </c>
      <c r="F108" s="225" t="e">
        <f t="shared" si="17"/>
        <v>#N/A</v>
      </c>
      <c r="G108" s="227"/>
      <c r="H108" s="227"/>
      <c r="I108" s="167" t="e">
        <f t="shared" si="21"/>
        <v>#N/A</v>
      </c>
      <c r="J108" s="162">
        <f t="shared" si="24"/>
        <v>0</v>
      </c>
      <c r="K108" s="162">
        <f t="shared" si="25"/>
        <v>0</v>
      </c>
      <c r="L108" s="162">
        <f t="shared" si="26"/>
        <v>0</v>
      </c>
      <c r="M108" s="162">
        <f t="shared" si="23"/>
        <v>0</v>
      </c>
      <c r="N108" s="180"/>
      <c r="P108" s="165"/>
      <c r="R108" s="354">
        <f>L108-'PAY EST 3'!L107</f>
        <v>0</v>
      </c>
    </row>
    <row r="109" spans="1:19" ht="13.5" thickBot="1">
      <c r="A109" s="257"/>
      <c r="B109" s="181"/>
      <c r="C109" s="181"/>
      <c r="D109" s="182"/>
      <c r="E109" s="183"/>
      <c r="F109" s="228"/>
      <c r="G109" s="229"/>
      <c r="H109" s="229"/>
      <c r="I109" s="230"/>
      <c r="J109" s="183"/>
      <c r="K109" s="183"/>
      <c r="L109" s="183"/>
      <c r="M109" s="184"/>
      <c r="N109" s="180"/>
      <c r="P109" s="165"/>
    </row>
    <row r="110" spans="1:19" ht="13.5" thickTop="1">
      <c r="A110" s="258"/>
      <c r="B110" s="137"/>
      <c r="C110" s="137"/>
      <c r="D110" s="139"/>
      <c r="E110" s="142"/>
      <c r="F110" s="142"/>
      <c r="I110" s="185" t="s">
        <v>115</v>
      </c>
      <c r="J110" s="186">
        <f>SUM(J8:J109)</f>
        <v>1833401.355</v>
      </c>
      <c r="K110" s="187"/>
      <c r="L110" s="188">
        <f>SUM(L8:L109)</f>
        <v>1113945.43025</v>
      </c>
      <c r="M110" s="189">
        <f>SUM(M8:M109)</f>
        <v>719455.92475000001</v>
      </c>
      <c r="N110" s="137"/>
      <c r="P110" s="165"/>
      <c r="R110" s="140" t="s">
        <v>296</v>
      </c>
      <c r="S110" s="354">
        <f>SUM(R8:R86)*0.05</f>
        <v>29256.455512500004</v>
      </c>
    </row>
    <row r="111" spans="1:19">
      <c r="A111" s="258" t="s">
        <v>56</v>
      </c>
      <c r="B111" s="137"/>
      <c r="C111" s="137"/>
      <c r="D111" s="139"/>
      <c r="E111" s="137" t="s">
        <v>57</v>
      </c>
      <c r="F111" s="137"/>
      <c r="G111" s="199" t="s">
        <v>119</v>
      </c>
      <c r="H111" s="142"/>
      <c r="K111" s="141"/>
      <c r="L111" s="141"/>
      <c r="M111" s="141" t="s">
        <v>63</v>
      </c>
      <c r="N111" s="165"/>
      <c r="O111" s="145">
        <f>L110</f>
        <v>1113945.43025</v>
      </c>
      <c r="P111" s="165"/>
    </row>
    <row r="112" spans="1:19">
      <c r="A112" s="258"/>
      <c r="B112" s="137"/>
      <c r="E112" t="str">
        <f>'PROJECT INFO'!F16</f>
        <v>384-8101-439-7517</v>
      </c>
      <c r="F112"/>
      <c r="G112" s="217">
        <f>'PROJECT INFO'!C16</f>
        <v>0</v>
      </c>
      <c r="H112" s="347">
        <v>140013.99</v>
      </c>
      <c r="I112" t="str">
        <f>'PROJECT INFO'!J16</f>
        <v>(NTE $1,004,711.76)</v>
      </c>
      <c r="L112" s="141"/>
      <c r="M112" s="141" t="s">
        <v>58</v>
      </c>
      <c r="N112" s="165"/>
      <c r="O112" s="145">
        <v>0</v>
      </c>
      <c r="P112" s="165"/>
    </row>
    <row r="113" spans="1:18">
      <c r="A113" s="259" t="s">
        <v>85</v>
      </c>
      <c r="B113" s="190"/>
      <c r="C113" s="190"/>
      <c r="D113" s="207"/>
      <c r="E113" s="344" t="str">
        <f>'PROJECT INFO'!F17</f>
        <v>607-7704-39-7517</v>
      </c>
      <c r="F113" s="344"/>
      <c r="G113" s="217">
        <f>'PROJECT INFO'!C17</f>
        <v>0</v>
      </c>
      <c r="H113" s="347"/>
      <c r="I113" t="str">
        <f>'PROJECT INFO'!J17</f>
        <v>(NTE $300,000.00)</v>
      </c>
      <c r="L113" s="141"/>
      <c r="M113" s="141" t="str">
        <f>IF(Q113="Y","LESS: 3% RETAINED (MAX $30,000):","LESS: 5% RETAINED:")</f>
        <v>LESS: 5% RETAINED:</v>
      </c>
      <c r="N113" s="165"/>
      <c r="O113" s="145">
        <f>IF(Q113="Y",IF(0.03*O111&lt;30000,ROUND(0.03*O111,2),30000),ROUND(0.05*O111,2))</f>
        <v>55697.27</v>
      </c>
      <c r="P113" s="165"/>
      <c r="Q113" s="191" t="s">
        <v>106</v>
      </c>
      <c r="R113" s="192" t="s">
        <v>107</v>
      </c>
    </row>
    <row r="114" spans="1:18">
      <c r="A114" s="258"/>
      <c r="B114" s="137"/>
      <c r="E114" s="345" t="str">
        <f>'PROJECT INFO'!F18</f>
        <v>510-8461489-7514</v>
      </c>
      <c r="F114" s="345"/>
      <c r="G114" s="217">
        <f>'PROJECT INFO'!C18</f>
        <v>0</v>
      </c>
      <c r="H114" s="347">
        <v>1260.5</v>
      </c>
      <c r="I114" t="str">
        <f>'PROJECT INFO'!J18</f>
        <v>(NTE $360,255.50)</v>
      </c>
      <c r="L114" s="141"/>
      <c r="M114" s="141" t="s">
        <v>59</v>
      </c>
      <c r="N114" s="165"/>
      <c r="O114" s="145">
        <f>O111+O112-O113</f>
        <v>1058248.16025</v>
      </c>
      <c r="P114" s="165"/>
    </row>
    <row r="115" spans="1:18">
      <c r="A115" s="259" t="s">
        <v>60</v>
      </c>
      <c r="B115" s="190"/>
      <c r="C115" s="190"/>
      <c r="D115" s="207"/>
      <c r="E115" s="346" t="str">
        <f>'PROJECT INFO'!F19</f>
        <v>520-8542-489-7514</v>
      </c>
      <c r="F115" s="346"/>
      <c r="G115" s="217">
        <f>'PROJECT INFO'!C19</f>
        <v>0</v>
      </c>
      <c r="H115" s="347">
        <v>72344.3</v>
      </c>
      <c r="I115" t="str">
        <f>'PROJECT INFO'!J19</f>
        <v>(NTE $163,034.10)</v>
      </c>
      <c r="L115" s="141"/>
      <c r="M115" s="141" t="s">
        <v>61</v>
      </c>
      <c r="N115" s="165"/>
      <c r="O115" s="145">
        <f>O33</f>
        <v>844629.37025000004</v>
      </c>
      <c r="P115" s="165"/>
    </row>
    <row r="116" spans="1:18">
      <c r="A116" s="258"/>
      <c r="B116" s="137"/>
      <c r="E116">
        <f>'PROJECT INFO'!F20</f>
        <v>0</v>
      </c>
      <c r="F116"/>
      <c r="G116" s="217">
        <f>'PROJECT INFO'!C20</f>
        <v>0</v>
      </c>
      <c r="H116" s="208"/>
      <c r="I116" t="str">
        <f>'PROJECT INFO'!J20</f>
        <v>(NTE $00.00)</v>
      </c>
      <c r="L116" s="193"/>
      <c r="M116" s="193" t="s">
        <v>62</v>
      </c>
      <c r="N116" s="194"/>
      <c r="O116" s="195">
        <f>O114-O115</f>
        <v>213618.78999999992</v>
      </c>
      <c r="P116" s="165"/>
    </row>
    <row r="117" spans="1:18">
      <c r="A117" s="258"/>
      <c r="B117" s="137"/>
      <c r="C117" s="137"/>
      <c r="D117" s="139"/>
      <c r="E117">
        <f>'PROJECT INFO'!F21</f>
        <v>0</v>
      </c>
      <c r="F117"/>
      <c r="G117" s="217">
        <f>'PROJECT INFO'!C21</f>
        <v>0</v>
      </c>
      <c r="H117" s="208"/>
      <c r="I117" t="str">
        <f>'PROJECT INFO'!J21</f>
        <v>(NTE $00.00)</v>
      </c>
      <c r="K117" s="137"/>
      <c r="L117" s="137"/>
      <c r="M117" s="137"/>
      <c r="N117" s="137"/>
      <c r="O117" s="137"/>
      <c r="P117" s="165"/>
    </row>
    <row r="118" spans="1:18">
      <c r="E118">
        <f>'PROJECT INFO'!F22</f>
        <v>0</v>
      </c>
      <c r="F118"/>
      <c r="G118" s="217">
        <f>'PROJECT INFO'!C22</f>
        <v>0</v>
      </c>
      <c r="H118" s="208"/>
      <c r="I118" t="str">
        <f>'PROJECT INFO'!J22</f>
        <v>(NTE $00.00)</v>
      </c>
    </row>
    <row r="119" spans="1:18">
      <c r="E119">
        <f>'PROJECT INFO'!F23</f>
        <v>0</v>
      </c>
      <c r="F119"/>
      <c r="G119" s="217">
        <f>'PROJECT INFO'!C23</f>
        <v>0</v>
      </c>
      <c r="H119" s="208"/>
      <c r="I119" t="str">
        <f>'PROJECT INFO'!J23</f>
        <v>(NTE $00.00)</v>
      </c>
    </row>
    <row r="120" spans="1:18">
      <c r="D120" s="139"/>
      <c r="E120">
        <f>'PROJECT INFO'!F24</f>
        <v>0</v>
      </c>
      <c r="F120"/>
      <c r="G120" s="217">
        <f>'PROJECT INFO'!C24</f>
        <v>0</v>
      </c>
      <c r="H120" s="208"/>
      <c r="I120" t="str">
        <f>'PROJECT INFO'!J24</f>
        <v>(NTE $00.00)</v>
      </c>
    </row>
    <row r="121" spans="1:18">
      <c r="D121" s="139"/>
      <c r="E121">
        <f>'PROJECT INFO'!F25</f>
        <v>0</v>
      </c>
      <c r="F121"/>
      <c r="G121" s="217">
        <f>'PROJECT INFO'!C25</f>
        <v>0</v>
      </c>
      <c r="H121" s="208"/>
      <c r="I121" t="str">
        <f>'PROJECT INFO'!J25</f>
        <v>(NTE $00.00)</v>
      </c>
    </row>
    <row r="122" spans="1:18">
      <c r="A122" s="261" t="s">
        <v>122</v>
      </c>
      <c r="D122" s="139"/>
      <c r="E122" s="142"/>
      <c r="K122" s="200"/>
      <c r="L122" s="200"/>
      <c r="M122" s="201" t="s">
        <v>108</v>
      </c>
      <c r="N122" s="200"/>
      <c r="O122" s="202">
        <f>O5-O33</f>
        <v>988771.98975000007</v>
      </c>
      <c r="Q122" s="140" t="s">
        <v>121</v>
      </c>
    </row>
    <row r="123" spans="1:18">
      <c r="D123" s="139"/>
      <c r="E123" s="142"/>
      <c r="K123" s="200"/>
      <c r="L123" s="200"/>
      <c r="M123" s="203" t="s">
        <v>109</v>
      </c>
      <c r="N123" s="204"/>
      <c r="O123" s="205">
        <f>O122-O116</f>
        <v>775153.19975000015</v>
      </c>
    </row>
    <row r="124" spans="1:18">
      <c r="E124" s="142"/>
    </row>
    <row r="125" spans="1:18">
      <c r="E125" s="142"/>
    </row>
    <row r="126" spans="1:18">
      <c r="E126" s="142"/>
    </row>
    <row r="127" spans="1:18">
      <c r="E127" s="142"/>
    </row>
    <row r="128" spans="1:18">
      <c r="E128" s="142"/>
      <c r="G128" s="140" t="s">
        <v>294</v>
      </c>
      <c r="H128" s="353">
        <f>SUM(H112:H115)</f>
        <v>213618.78999999998</v>
      </c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E148" s="142"/>
    </row>
    <row r="149" spans="3:5">
      <c r="C149" s="137"/>
      <c r="E149" s="142"/>
    </row>
    <row r="150" spans="3:5">
      <c r="E150" s="142"/>
    </row>
    <row r="151" spans="3:5">
      <c r="E151" s="142"/>
    </row>
  </sheetData>
  <conditionalFormatting sqref="B8:I108">
    <cfRule type="expression" dxfId="19" priority="2">
      <formula>ISERROR(B8)</formula>
    </cfRule>
  </conditionalFormatting>
  <conditionalFormatting sqref="E112:F121 H112:H121">
    <cfRule type="expression" dxfId="18" priority="4">
      <formula>ISTEXT($E112)</formula>
    </cfRule>
  </conditionalFormatting>
  <conditionalFormatting sqref="E112:I121">
    <cfRule type="expression" dxfId="17" priority="1">
      <formula>ISNUMBER($E112)</formula>
    </cfRule>
  </conditionalFormatting>
  <conditionalFormatting sqref="K8:K108">
    <cfRule type="cellIs" dxfId="16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9A613-BD89-4026-8F91-8F3E777A82F6}">
  <sheetPr>
    <pageSetUpPr autoPageBreaks="0" fitToPage="1"/>
  </sheetPr>
  <dimension ref="A1:S151"/>
  <sheetViews>
    <sheetView showOutlineSymbols="0" topLeftCell="D43" zoomScale="80" zoomScaleNormal="80" zoomScaleSheetLayoutView="100" workbookViewId="0">
      <selection activeCell="C94" sqref="C94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1" width="13.7109375" style="140" customWidth="1"/>
    <col min="12" max="12" width="14.14062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6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45569</v>
      </c>
      <c r="I5" s="147"/>
      <c r="J5" s="148"/>
      <c r="L5" s="141"/>
      <c r="M5" s="141" t="s">
        <v>47</v>
      </c>
      <c r="N5" s="139"/>
      <c r="O5" s="145">
        <f>SUM(O4+O19)</f>
        <v>1833401.36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3" si="0">VLOOKUP($A8,BIDTAB,2,FALSE)</f>
        <v>#N/A</v>
      </c>
      <c r="C8" s="137"/>
      <c r="D8" s="24" t="e">
        <f t="shared" ref="D8:D73" si="1">VLOOKUP($A8,BIDTAB,3,FALSE)</f>
        <v>#N/A</v>
      </c>
      <c r="E8" s="231" t="e">
        <f t="shared" ref="E8:E73" si="2">VLOOKUP($A8,BIDTAB,7,FALSE)</f>
        <v>#N/A</v>
      </c>
      <c r="F8" s="223" t="e">
        <f t="shared" ref="F8:F73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3" si="4">IF(ISERROR(F8*E8),0,F8*E8)</f>
        <v>0</v>
      </c>
      <c r="K8" s="162">
        <f t="shared" ref="K8:K73" si="5">IF(ISERROR(G8*E8),0,G8*E8)</f>
        <v>0</v>
      </c>
      <c r="L8" s="162">
        <f t="shared" ref="L8:L73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>
        <f>L8-'PAY EST 3'!L8</f>
        <v>0</v>
      </c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>
        <v>495.65</v>
      </c>
      <c r="I9" s="167">
        <f t="shared" ref="I9:I74" si="7">IF(ISBLANK(G9),F9,F9+G9)-H9</f>
        <v>495.65</v>
      </c>
      <c r="J9" s="162">
        <f t="shared" si="4"/>
        <v>27756.399999999998</v>
      </c>
      <c r="K9" s="162">
        <f t="shared" si="5"/>
        <v>0</v>
      </c>
      <c r="L9" s="162">
        <f t="shared" si="6"/>
        <v>13878.199999999999</v>
      </c>
      <c r="M9" s="162">
        <f t="shared" ref="M9:M74" si="8">SUM(J9:K9)-L9</f>
        <v>13878.199999999999</v>
      </c>
      <c r="N9" s="168"/>
      <c r="O9" s="169"/>
      <c r="P9" s="165"/>
      <c r="R9" s="162">
        <f>L9-'PAY EST 3'!L9</f>
        <v>13878.199999999999</v>
      </c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>
        <v>3077.5</v>
      </c>
      <c r="I10" s="167">
        <f t="shared" si="7"/>
        <v>-24</v>
      </c>
      <c r="J10" s="162">
        <f t="shared" si="4"/>
        <v>61070</v>
      </c>
      <c r="K10" s="162">
        <f t="shared" si="5"/>
        <v>0</v>
      </c>
      <c r="L10" s="162">
        <f t="shared" si="6"/>
        <v>61550</v>
      </c>
      <c r="M10" s="162">
        <f t="shared" si="8"/>
        <v>-480</v>
      </c>
      <c r="N10" s="170">
        <v>1</v>
      </c>
      <c r="O10" s="352">
        <v>2100</v>
      </c>
      <c r="P10" s="165"/>
      <c r="R10" s="162">
        <f>L10-'PAY EST 3'!L10</f>
        <v>61550</v>
      </c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>
        <v>7126</v>
      </c>
      <c r="I11" s="167">
        <f t="shared" si="7"/>
        <v>4864</v>
      </c>
      <c r="J11" s="162">
        <f t="shared" si="4"/>
        <v>38967.5</v>
      </c>
      <c r="K11" s="162">
        <f t="shared" si="5"/>
        <v>0</v>
      </c>
      <c r="L11" s="162">
        <f t="shared" si="6"/>
        <v>23159.5</v>
      </c>
      <c r="M11" s="162">
        <f t="shared" si="8"/>
        <v>15808</v>
      </c>
      <c r="N11" s="171">
        <v>2</v>
      </c>
      <c r="O11" s="238">
        <v>3300</v>
      </c>
      <c r="P11" s="165"/>
      <c r="R11" s="162">
        <f>L11-'PAY EST 3'!L11</f>
        <v>23159.5</v>
      </c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>
        <v>11950.78</v>
      </c>
      <c r="I12" s="167">
        <f t="shared" si="7"/>
        <v>39.219999999999345</v>
      </c>
      <c r="J12" s="162">
        <f t="shared" si="4"/>
        <v>107910</v>
      </c>
      <c r="K12" s="162">
        <f t="shared" si="5"/>
        <v>0</v>
      </c>
      <c r="L12" s="162">
        <f t="shared" si="6"/>
        <v>107557.02</v>
      </c>
      <c r="M12" s="162">
        <f t="shared" si="8"/>
        <v>352.97999999999593</v>
      </c>
      <c r="N12" s="171">
        <v>3</v>
      </c>
      <c r="O12" s="238"/>
      <c r="P12" s="165"/>
      <c r="R12" s="162">
        <f>L12-'PAY EST 3'!L12</f>
        <v>107557.02</v>
      </c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  <c r="R13" s="162">
        <f>L13-'PAY EST 3'!L13</f>
        <v>0</v>
      </c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567</v>
      </c>
      <c r="I14" s="305">
        <f t="shared" si="7"/>
        <v>11</v>
      </c>
      <c r="J14" s="306">
        <f t="shared" si="4"/>
        <v>42483</v>
      </c>
      <c r="K14" s="306">
        <f t="shared" si="5"/>
        <v>0</v>
      </c>
      <c r="L14" s="306">
        <f t="shared" si="6"/>
        <v>41674.5</v>
      </c>
      <c r="M14" s="306">
        <f t="shared" si="8"/>
        <v>808.5</v>
      </c>
      <c r="N14" s="171">
        <v>5</v>
      </c>
      <c r="O14" s="238"/>
      <c r="P14" s="165"/>
      <c r="R14" s="306">
        <f>L14-'PAY EST 3'!L14</f>
        <v>22344</v>
      </c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17</v>
      </c>
      <c r="I15" s="305">
        <f t="shared" si="7"/>
        <v>-5</v>
      </c>
      <c r="J15" s="306">
        <f t="shared" si="4"/>
        <v>25200</v>
      </c>
      <c r="K15" s="306">
        <f t="shared" si="5"/>
        <v>0</v>
      </c>
      <c r="L15" s="306">
        <f t="shared" si="6"/>
        <v>35700</v>
      </c>
      <c r="M15" s="306">
        <f t="shared" si="8"/>
        <v>-10500</v>
      </c>
      <c r="N15" s="171">
        <v>6</v>
      </c>
      <c r="O15" s="238"/>
      <c r="P15" s="165"/>
      <c r="R15" s="306">
        <f>L15-'PAY EST 3'!L15</f>
        <v>14700</v>
      </c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567</v>
      </c>
      <c r="I16" s="305">
        <f t="shared" si="7"/>
        <v>11</v>
      </c>
      <c r="J16" s="306">
        <f t="shared" si="4"/>
        <v>12138</v>
      </c>
      <c r="K16" s="306">
        <f t="shared" si="5"/>
        <v>0</v>
      </c>
      <c r="L16" s="306">
        <f t="shared" si="6"/>
        <v>11907</v>
      </c>
      <c r="M16" s="306">
        <f t="shared" si="8"/>
        <v>231</v>
      </c>
      <c r="N16" s="171">
        <v>7</v>
      </c>
      <c r="O16" s="238"/>
      <c r="P16" s="165"/>
      <c r="R16" s="306">
        <f>L16-'PAY EST 3'!L16</f>
        <v>6384</v>
      </c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546</v>
      </c>
      <c r="I17" s="167">
        <f t="shared" si="7"/>
        <v>-20</v>
      </c>
      <c r="J17" s="162">
        <f t="shared" si="4"/>
        <v>38661</v>
      </c>
      <c r="K17" s="162">
        <f t="shared" si="5"/>
        <v>0</v>
      </c>
      <c r="L17" s="162">
        <f t="shared" si="6"/>
        <v>40131</v>
      </c>
      <c r="M17" s="162">
        <f t="shared" si="8"/>
        <v>-1470</v>
      </c>
      <c r="N17" s="171">
        <v>8</v>
      </c>
      <c r="O17" s="238"/>
      <c r="P17" s="165"/>
      <c r="R17" s="162">
        <f>L17-'PAY EST 3'!L17</f>
        <v>9849</v>
      </c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546</v>
      </c>
      <c r="I18" s="167">
        <f t="shared" si="7"/>
        <v>-20</v>
      </c>
      <c r="J18" s="162">
        <f t="shared" si="4"/>
        <v>11046</v>
      </c>
      <c r="K18" s="162">
        <f t="shared" si="5"/>
        <v>0</v>
      </c>
      <c r="L18" s="162">
        <f t="shared" si="6"/>
        <v>11466</v>
      </c>
      <c r="M18" s="162">
        <f t="shared" si="8"/>
        <v>-420</v>
      </c>
      <c r="N18" s="172"/>
      <c r="O18" s="239" t="s">
        <v>10</v>
      </c>
      <c r="P18" s="165"/>
      <c r="R18" s="162">
        <f>L18-'PAY EST 3'!L18</f>
        <v>2814</v>
      </c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197</v>
      </c>
      <c r="I19" s="167">
        <f t="shared" si="7"/>
        <v>3</v>
      </c>
      <c r="J19" s="162">
        <f t="shared" si="4"/>
        <v>5100</v>
      </c>
      <c r="K19" s="162">
        <f t="shared" si="5"/>
        <v>0</v>
      </c>
      <c r="L19" s="162">
        <f t="shared" si="6"/>
        <v>5023.5</v>
      </c>
      <c r="M19" s="162">
        <f t="shared" si="8"/>
        <v>76.5</v>
      </c>
      <c r="N19" s="173"/>
      <c r="O19" s="240">
        <f>SUM(O10:O17)</f>
        <v>5400</v>
      </c>
      <c r="P19" s="165"/>
      <c r="R19" s="162">
        <f>L19-'PAY EST 3'!L19</f>
        <v>5023.5</v>
      </c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1</v>
      </c>
      <c r="I20" s="167">
        <f t="shared" si="7"/>
        <v>0</v>
      </c>
      <c r="J20" s="162">
        <f t="shared" si="4"/>
        <v>850</v>
      </c>
      <c r="K20" s="162">
        <f t="shared" si="5"/>
        <v>0</v>
      </c>
      <c r="L20" s="162">
        <f t="shared" si="6"/>
        <v>850</v>
      </c>
      <c r="M20" s="162">
        <f t="shared" si="8"/>
        <v>0</v>
      </c>
      <c r="N20" s="174"/>
      <c r="O20" s="241"/>
      <c r="P20" s="165"/>
      <c r="R20" s="162">
        <f>L20-'PAY EST 3'!L20</f>
        <v>850</v>
      </c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13</v>
      </c>
      <c r="I21" s="167">
        <f t="shared" si="7"/>
        <v>-12</v>
      </c>
      <c r="J21" s="162">
        <f t="shared" si="4"/>
        <v>600</v>
      </c>
      <c r="K21" s="162">
        <f t="shared" si="5"/>
        <v>0</v>
      </c>
      <c r="L21" s="162">
        <f t="shared" si="6"/>
        <v>7800</v>
      </c>
      <c r="M21" s="162">
        <f t="shared" si="8"/>
        <v>-7200</v>
      </c>
      <c r="N21" s="175" t="s">
        <v>54</v>
      </c>
      <c r="O21" s="242"/>
      <c r="P21" s="165"/>
      <c r="R21" s="162">
        <f>L21-'PAY EST 3'!L21</f>
        <v>3600</v>
      </c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>
        <f>L22-'PAY EST 3'!L22</f>
        <v>0</v>
      </c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>
        <f>L23-'PAY EST 3'!L23</f>
        <v>0</v>
      </c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  <c r="R24" s="296">
        <f>L24-'PAY EST 3'!L24</f>
        <v>0</v>
      </c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  <c r="R25" s="296">
        <f>L25-'PAY EST 3'!L25</f>
        <v>0</v>
      </c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41.5</v>
      </c>
      <c r="I26" s="295">
        <f t="shared" si="7"/>
        <v>-17.5</v>
      </c>
      <c r="J26" s="296">
        <f t="shared" si="4"/>
        <v>2520</v>
      </c>
      <c r="K26" s="296">
        <f t="shared" si="5"/>
        <v>0</v>
      </c>
      <c r="L26" s="296">
        <f t="shared" si="6"/>
        <v>4357.5</v>
      </c>
      <c r="M26" s="296">
        <f t="shared" si="8"/>
        <v>-1837.5</v>
      </c>
      <c r="N26" s="171">
        <v>2</v>
      </c>
      <c r="O26" s="239">
        <v>267401.59999999998</v>
      </c>
      <c r="P26" s="165"/>
      <c r="R26" s="296">
        <f>L26-'PAY EST 3'!L26</f>
        <v>1680</v>
      </c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>
        <v>137425.00000000006</v>
      </c>
      <c r="P27" s="165"/>
      <c r="R27" s="296">
        <f>L27-'PAY EST 3'!L27</f>
        <v>0</v>
      </c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>
        <v>344248.87024999998</v>
      </c>
      <c r="P28" s="165"/>
      <c r="R28" s="296">
        <f>L28-'PAY EST 3'!L28</f>
        <v>0</v>
      </c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>
        <v>213618.78999999992</v>
      </c>
      <c r="P29" s="165"/>
      <c r="R29" s="296">
        <f>L29-'PAY EST 3'!L29</f>
        <v>0</v>
      </c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/>
      <c r="P30" s="165"/>
      <c r="R30" s="296">
        <f>L30-'PAY EST 3'!L30</f>
        <v>0</v>
      </c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4</v>
      </c>
      <c r="I31" s="295">
        <f t="shared" si="7"/>
        <v>1</v>
      </c>
      <c r="J31" s="296">
        <f t="shared" si="4"/>
        <v>2625</v>
      </c>
      <c r="K31" s="296">
        <f t="shared" si="5"/>
        <v>0</v>
      </c>
      <c r="L31" s="296">
        <f t="shared" si="6"/>
        <v>2100</v>
      </c>
      <c r="M31" s="296">
        <f t="shared" si="8"/>
        <v>525</v>
      </c>
      <c r="N31" s="177">
        <v>7</v>
      </c>
      <c r="O31" s="244"/>
      <c r="P31" s="165"/>
      <c r="R31" s="296">
        <f>L31-'PAY EST 3'!L31</f>
        <v>1050</v>
      </c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  <c r="R32" s="296">
        <f>L32-'PAY EST 3'!L32</f>
        <v>0</v>
      </c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6</v>
      </c>
      <c r="I33" s="295">
        <f t="shared" si="7"/>
        <v>-5</v>
      </c>
      <c r="J33" s="296">
        <f t="shared" si="4"/>
        <v>420</v>
      </c>
      <c r="K33" s="296">
        <f t="shared" si="5"/>
        <v>0</v>
      </c>
      <c r="L33" s="296">
        <f t="shared" si="6"/>
        <v>2520</v>
      </c>
      <c r="M33" s="296">
        <f t="shared" si="8"/>
        <v>-2100</v>
      </c>
      <c r="N33" s="179"/>
      <c r="O33" s="246">
        <f>SUM(O25:O31)</f>
        <v>1058248.16025</v>
      </c>
      <c r="P33" s="165"/>
      <c r="R33" s="296">
        <f>L33-'PAY EST 3'!L33</f>
        <v>0</v>
      </c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2</v>
      </c>
      <c r="I34" s="295">
        <f t="shared" si="7"/>
        <v>-1</v>
      </c>
      <c r="J34" s="296">
        <f t="shared" si="4"/>
        <v>420</v>
      </c>
      <c r="K34" s="296">
        <f t="shared" si="5"/>
        <v>0</v>
      </c>
      <c r="L34" s="296">
        <f t="shared" si="6"/>
        <v>840</v>
      </c>
      <c r="M34" s="296">
        <f t="shared" si="8"/>
        <v>-420</v>
      </c>
      <c r="N34" s="180"/>
      <c r="P34" s="165"/>
      <c r="R34" s="296">
        <f>L34-'PAY EST 3'!L34</f>
        <v>0</v>
      </c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>
        <f>L35-'PAY EST 3'!L35</f>
        <v>0</v>
      </c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>
        <f>L36-'PAY EST 3'!L36</f>
        <v>0</v>
      </c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>
        <v>17</v>
      </c>
      <c r="I37" s="295">
        <f t="shared" si="7"/>
        <v>-2</v>
      </c>
      <c r="J37" s="296">
        <f t="shared" si="4"/>
        <v>63000</v>
      </c>
      <c r="K37" s="296">
        <f t="shared" si="5"/>
        <v>0</v>
      </c>
      <c r="L37" s="296">
        <f t="shared" si="6"/>
        <v>71400</v>
      </c>
      <c r="M37" s="296">
        <f t="shared" si="8"/>
        <v>-8400</v>
      </c>
      <c r="N37" s="180"/>
      <c r="P37" s="165"/>
      <c r="R37" s="296">
        <f>L37-'PAY EST 3'!L37</f>
        <v>0</v>
      </c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>
        <v>17</v>
      </c>
      <c r="I38" s="295">
        <f t="shared" si="7"/>
        <v>-2</v>
      </c>
      <c r="J38" s="296">
        <f t="shared" si="4"/>
        <v>47250</v>
      </c>
      <c r="K38" s="296">
        <f t="shared" si="5"/>
        <v>0</v>
      </c>
      <c r="L38" s="296">
        <f t="shared" si="6"/>
        <v>53550</v>
      </c>
      <c r="M38" s="296">
        <f t="shared" si="8"/>
        <v>-6300</v>
      </c>
      <c r="N38" s="180"/>
      <c r="P38" s="165"/>
      <c r="R38" s="296">
        <f>L38-'PAY EST 3'!L38</f>
        <v>0</v>
      </c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  <c r="R39" s="296">
        <f>L39-'PAY EST 3'!L39</f>
        <v>0</v>
      </c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2</v>
      </c>
      <c r="I40" s="295">
        <f t="shared" si="7"/>
        <v>0</v>
      </c>
      <c r="J40" s="296">
        <f t="shared" si="4"/>
        <v>3150</v>
      </c>
      <c r="K40" s="296">
        <f t="shared" si="5"/>
        <v>0</v>
      </c>
      <c r="L40" s="296">
        <f t="shared" si="6"/>
        <v>3150</v>
      </c>
      <c r="M40" s="296">
        <f t="shared" si="8"/>
        <v>0</v>
      </c>
      <c r="N40" s="180"/>
      <c r="P40" s="165"/>
      <c r="R40" s="296">
        <f>L40-'PAY EST 3'!L40</f>
        <v>1575</v>
      </c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6</v>
      </c>
      <c r="I41" s="295">
        <f t="shared" si="7"/>
        <v>-1</v>
      </c>
      <c r="J41" s="296">
        <f t="shared" si="4"/>
        <v>42000</v>
      </c>
      <c r="K41" s="296">
        <f t="shared" si="5"/>
        <v>0</v>
      </c>
      <c r="L41" s="296">
        <f t="shared" si="6"/>
        <v>50400</v>
      </c>
      <c r="M41" s="296">
        <f t="shared" si="8"/>
        <v>-8400</v>
      </c>
      <c r="N41" s="180"/>
      <c r="P41" s="165"/>
      <c r="R41" s="296">
        <f>L41-'PAY EST 3'!L41</f>
        <v>16800</v>
      </c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2</v>
      </c>
      <c r="I42" s="295">
        <f t="shared" si="7"/>
        <v>8</v>
      </c>
      <c r="J42" s="296">
        <f t="shared" si="4"/>
        <v>6500</v>
      </c>
      <c r="K42" s="296">
        <f t="shared" si="5"/>
        <v>0</v>
      </c>
      <c r="L42" s="296">
        <f t="shared" si="6"/>
        <v>1300</v>
      </c>
      <c r="M42" s="296">
        <f t="shared" si="8"/>
        <v>5200</v>
      </c>
      <c r="N42" s="180"/>
      <c r="P42" s="165"/>
      <c r="R42" s="296">
        <f>L42-'PAY EST 3'!L42</f>
        <v>1300</v>
      </c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3</v>
      </c>
      <c r="I43" s="295">
        <f t="shared" si="7"/>
        <v>1</v>
      </c>
      <c r="J43" s="296">
        <f t="shared" si="4"/>
        <v>4200</v>
      </c>
      <c r="K43" s="296">
        <f t="shared" si="5"/>
        <v>0</v>
      </c>
      <c r="L43" s="296">
        <f t="shared" si="6"/>
        <v>3150</v>
      </c>
      <c r="M43" s="296">
        <f t="shared" si="8"/>
        <v>1050</v>
      </c>
      <c r="N43" s="180"/>
      <c r="P43" s="165"/>
      <c r="R43" s="296">
        <f>L43-'PAY EST 3'!L43</f>
        <v>1050</v>
      </c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5</v>
      </c>
      <c r="I44" s="295">
        <f t="shared" si="7"/>
        <v>-3</v>
      </c>
      <c r="J44" s="296">
        <f t="shared" si="4"/>
        <v>1050</v>
      </c>
      <c r="K44" s="296">
        <f t="shared" si="5"/>
        <v>0</v>
      </c>
      <c r="L44" s="296">
        <f t="shared" si="6"/>
        <v>2625</v>
      </c>
      <c r="M44" s="296">
        <f t="shared" si="8"/>
        <v>-1575</v>
      </c>
      <c r="N44" s="180"/>
      <c r="P44" s="165"/>
      <c r="R44" s="296">
        <f>L44-'PAY EST 3'!L44</f>
        <v>525</v>
      </c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4</v>
      </c>
      <c r="I45" s="295">
        <f t="shared" si="7"/>
        <v>8</v>
      </c>
      <c r="J45" s="296">
        <f t="shared" si="4"/>
        <v>6300</v>
      </c>
      <c r="K45" s="296">
        <f t="shared" si="5"/>
        <v>0</v>
      </c>
      <c r="L45" s="296">
        <f t="shared" si="6"/>
        <v>2100</v>
      </c>
      <c r="M45" s="296">
        <f t="shared" si="8"/>
        <v>4200</v>
      </c>
      <c r="N45" s="180"/>
      <c r="P45" s="165"/>
      <c r="R45" s="296">
        <f>L45-'PAY EST 3'!L45</f>
        <v>0</v>
      </c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>
        <f>L46-'PAY EST 3'!L46</f>
        <v>0</v>
      </c>
    </row>
    <row r="47" spans="1:18">
      <c r="A47" s="335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8</v>
      </c>
      <c r="I47" s="305">
        <f t="shared" si="7"/>
        <v>0</v>
      </c>
      <c r="J47" s="306">
        <f t="shared" si="4"/>
        <v>74741.600000000006</v>
      </c>
      <c r="K47" s="306">
        <f t="shared" si="5"/>
        <v>0</v>
      </c>
      <c r="L47" s="306">
        <f t="shared" si="6"/>
        <v>74741.600000000006</v>
      </c>
      <c r="M47" s="306">
        <f t="shared" si="8"/>
        <v>0</v>
      </c>
      <c r="N47" s="180"/>
      <c r="P47" s="165"/>
      <c r="R47" s="306">
        <f>L47-'PAY EST 3'!L47</f>
        <v>37370.800000000003</v>
      </c>
    </row>
    <row r="48" spans="1:18">
      <c r="A48" s="256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1</v>
      </c>
      <c r="I48" s="167">
        <f t="shared" si="7"/>
        <v>0</v>
      </c>
      <c r="J48" s="162">
        <f t="shared" si="4"/>
        <v>9532.36</v>
      </c>
      <c r="K48" s="162">
        <f t="shared" si="5"/>
        <v>0</v>
      </c>
      <c r="L48" s="162">
        <f t="shared" si="6"/>
        <v>9532.36</v>
      </c>
      <c r="M48" s="162">
        <f t="shared" si="8"/>
        <v>0</v>
      </c>
      <c r="N48" s="180"/>
      <c r="P48" s="165"/>
      <c r="R48" s="162">
        <f>L48-'PAY EST 3'!L48</f>
        <v>9532.36</v>
      </c>
    </row>
    <row r="49" spans="1:18">
      <c r="A49" s="256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7</v>
      </c>
      <c r="I49" s="167">
        <f t="shared" si="7"/>
        <v>0</v>
      </c>
      <c r="J49" s="162">
        <f t="shared" si="4"/>
        <v>24746.12</v>
      </c>
      <c r="K49" s="162">
        <f t="shared" si="5"/>
        <v>0</v>
      </c>
      <c r="L49" s="162">
        <f t="shared" si="6"/>
        <v>24746.12</v>
      </c>
      <c r="M49" s="162">
        <f t="shared" si="8"/>
        <v>0</v>
      </c>
      <c r="N49" s="180"/>
      <c r="P49" s="165"/>
      <c r="R49" s="162">
        <f>L49-'PAY EST 3'!L49</f>
        <v>17675.8</v>
      </c>
    </row>
    <row r="50" spans="1:18">
      <c r="A50" s="356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>
        <v>4</v>
      </c>
      <c r="I50" s="167">
        <f t="shared" si="7"/>
        <v>-2</v>
      </c>
      <c r="J50" s="162">
        <f t="shared" si="4"/>
        <v>14549.7</v>
      </c>
      <c r="K50" s="162">
        <f t="shared" si="5"/>
        <v>0</v>
      </c>
      <c r="L50" s="162">
        <f t="shared" si="6"/>
        <v>29099.4</v>
      </c>
      <c r="M50" s="162">
        <f t="shared" si="8"/>
        <v>-14549.7</v>
      </c>
      <c r="N50" s="180"/>
      <c r="P50" s="165"/>
      <c r="R50" s="162">
        <f>L50-'PAY EST 3'!L50</f>
        <v>29099.4</v>
      </c>
    </row>
    <row r="51" spans="1:18">
      <c r="A51" s="335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0</v>
      </c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  <c r="R51" s="306">
        <f>L51-'PAY EST 3'!L51</f>
        <v>0</v>
      </c>
    </row>
    <row r="52" spans="1:18">
      <c r="A52" s="335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>
        <f>L52-'PAY EST 3'!L52</f>
        <v>5250</v>
      </c>
    </row>
    <row r="53" spans="1:18">
      <c r="A53" s="357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2</v>
      </c>
      <c r="I53" s="333">
        <f t="shared" si="7"/>
        <v>1</v>
      </c>
      <c r="J53" s="334">
        <f t="shared" si="4"/>
        <v>3709.5</v>
      </c>
      <c r="K53" s="334">
        <f t="shared" si="5"/>
        <v>0</v>
      </c>
      <c r="L53" s="334">
        <f t="shared" si="6"/>
        <v>2473</v>
      </c>
      <c r="M53" s="334">
        <f t="shared" si="8"/>
        <v>1236.5</v>
      </c>
      <c r="N53" s="180"/>
      <c r="P53" s="165"/>
      <c r="R53" s="334">
        <f>L53-'PAY EST 3'!L53</f>
        <v>2473</v>
      </c>
    </row>
    <row r="54" spans="1:18">
      <c r="A54" s="335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9</v>
      </c>
      <c r="I54" s="305">
        <f t="shared" si="7"/>
        <v>0</v>
      </c>
      <c r="J54" s="306">
        <f t="shared" si="4"/>
        <v>9450</v>
      </c>
      <c r="K54" s="306">
        <f t="shared" si="5"/>
        <v>0</v>
      </c>
      <c r="L54" s="306">
        <f t="shared" si="6"/>
        <v>9450</v>
      </c>
      <c r="M54" s="306">
        <f t="shared" si="8"/>
        <v>0</v>
      </c>
      <c r="N54" s="180"/>
      <c r="P54" s="165"/>
      <c r="R54" s="306">
        <f>L54-'PAY EST 3'!L54</f>
        <v>5250</v>
      </c>
    </row>
    <row r="55" spans="1:18">
      <c r="A55" s="256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1</v>
      </c>
      <c r="I55" s="167">
        <f t="shared" si="7"/>
        <v>0</v>
      </c>
      <c r="J55" s="162">
        <f t="shared" si="4"/>
        <v>1050</v>
      </c>
      <c r="K55" s="162">
        <f t="shared" si="5"/>
        <v>0</v>
      </c>
      <c r="L55" s="162">
        <f t="shared" si="6"/>
        <v>1050</v>
      </c>
      <c r="M55" s="162">
        <f t="shared" si="8"/>
        <v>0</v>
      </c>
      <c r="N55" s="180"/>
      <c r="P55" s="165"/>
      <c r="R55" s="162">
        <f>L55-'PAY EST 3'!L55</f>
        <v>1050</v>
      </c>
    </row>
    <row r="56" spans="1:18">
      <c r="A56" s="256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9</v>
      </c>
      <c r="I56" s="167">
        <f t="shared" si="7"/>
        <v>0</v>
      </c>
      <c r="J56" s="162">
        <f t="shared" si="4"/>
        <v>9450</v>
      </c>
      <c r="K56" s="162">
        <f t="shared" si="5"/>
        <v>0</v>
      </c>
      <c r="L56" s="162">
        <f t="shared" si="6"/>
        <v>9450</v>
      </c>
      <c r="M56" s="162">
        <f t="shared" si="8"/>
        <v>0</v>
      </c>
      <c r="N56" s="180"/>
      <c r="P56" s="165"/>
      <c r="R56" s="162">
        <f>L56-'PAY EST 3'!L56</f>
        <v>7350</v>
      </c>
    </row>
    <row r="57" spans="1:18">
      <c r="A57" s="335" t="s">
        <v>297</v>
      </c>
      <c r="B57" s="299" t="str">
        <f t="shared" si="0"/>
        <v xml:space="preserve">Sanitary Sewer MH - External Drop (E 16th and Maxwell) </v>
      </c>
      <c r="C57" s="300"/>
      <c r="D57" s="301" t="str">
        <f t="shared" si="1"/>
        <v>LS</v>
      </c>
      <c r="E57" s="302">
        <f t="shared" si="2"/>
        <v>3300</v>
      </c>
      <c r="F57" s="303">
        <f t="shared" si="3"/>
        <v>1</v>
      </c>
      <c r="G57" s="304"/>
      <c r="H57" s="304">
        <v>1</v>
      </c>
      <c r="I57" s="305">
        <f t="shared" si="7"/>
        <v>0</v>
      </c>
      <c r="J57" s="306">
        <f t="shared" si="4"/>
        <v>3300</v>
      </c>
      <c r="K57" s="306">
        <f t="shared" si="5"/>
        <v>0</v>
      </c>
      <c r="L57" s="306">
        <f t="shared" si="6"/>
        <v>3300</v>
      </c>
      <c r="M57" s="306">
        <f t="shared" ref="M57" si="9">SUM(J57:K57)-L57</f>
        <v>0</v>
      </c>
      <c r="N57" s="180"/>
      <c r="P57" s="165"/>
      <c r="R57" s="162">
        <f>L57-'PAY EST 3'!L56</f>
        <v>1200</v>
      </c>
    </row>
    <row r="58" spans="1:18">
      <c r="A58" s="256"/>
      <c r="B58" s="23" t="e">
        <f t="shared" si="0"/>
        <v>#N/A</v>
      </c>
      <c r="C58" s="137"/>
      <c r="D58" s="24" t="e">
        <f t="shared" si="1"/>
        <v>#N/A</v>
      </c>
      <c r="E58" s="231" t="e">
        <f t="shared" si="2"/>
        <v>#N/A</v>
      </c>
      <c r="F58" s="225" t="e">
        <f t="shared" si="3"/>
        <v>#N/A</v>
      </c>
      <c r="G58" s="227"/>
      <c r="H58" s="227"/>
      <c r="I58" s="167" t="e">
        <f t="shared" si="7"/>
        <v>#N/A</v>
      </c>
      <c r="J58" s="162">
        <f t="shared" si="4"/>
        <v>0</v>
      </c>
      <c r="K58" s="162">
        <f t="shared" si="5"/>
        <v>0</v>
      </c>
      <c r="L58" s="162">
        <f t="shared" si="6"/>
        <v>0</v>
      </c>
      <c r="M58" s="162">
        <f t="shared" si="8"/>
        <v>0</v>
      </c>
      <c r="N58" s="180"/>
      <c r="P58" s="165"/>
      <c r="R58" s="162">
        <f>L58-'PAY EST 3'!L57</f>
        <v>0</v>
      </c>
    </row>
    <row r="59" spans="1:18">
      <c r="A59" s="358" t="s">
        <v>258</v>
      </c>
      <c r="B59" s="325" t="str">
        <f t="shared" si="0"/>
        <v>Curb &amp; Gutter, 30" width, 12" thickness</v>
      </c>
      <c r="C59" s="337"/>
      <c r="D59" s="338" t="str">
        <f t="shared" si="1"/>
        <v>lf</v>
      </c>
      <c r="E59" s="339">
        <f t="shared" si="2"/>
        <v>35</v>
      </c>
      <c r="F59" s="340">
        <f t="shared" si="3"/>
        <v>5300</v>
      </c>
      <c r="G59" s="341"/>
      <c r="H59" s="341">
        <v>3416</v>
      </c>
      <c r="I59" s="342">
        <f t="shared" si="7"/>
        <v>1884</v>
      </c>
      <c r="J59" s="343">
        <f t="shared" si="4"/>
        <v>185500</v>
      </c>
      <c r="K59" s="343">
        <f t="shared" si="5"/>
        <v>0</v>
      </c>
      <c r="L59" s="343">
        <f t="shared" si="6"/>
        <v>119560</v>
      </c>
      <c r="M59" s="343">
        <f t="shared" si="8"/>
        <v>65940</v>
      </c>
      <c r="N59" s="180"/>
      <c r="P59" s="165"/>
      <c r="R59" s="343">
        <f>L59-'PAY EST 3'!L58</f>
        <v>119560</v>
      </c>
    </row>
    <row r="60" spans="1:18">
      <c r="A60" s="256" t="s">
        <v>259</v>
      </c>
      <c r="B60" s="23" t="str">
        <f t="shared" si="0"/>
        <v>Pavement, HMA, Base, 5" depth</v>
      </c>
      <c r="C60" s="137"/>
      <c r="D60" s="24" t="str">
        <f t="shared" si="1"/>
        <v>ton</v>
      </c>
      <c r="E60" s="231">
        <f t="shared" si="2"/>
        <v>103</v>
      </c>
      <c r="F60" s="225">
        <f t="shared" si="3"/>
        <v>2844.8</v>
      </c>
      <c r="G60" s="227"/>
      <c r="H60" s="227">
        <v>1744.42</v>
      </c>
      <c r="I60" s="167">
        <f t="shared" si="7"/>
        <v>1100.3800000000001</v>
      </c>
      <c r="J60" s="162">
        <f t="shared" si="4"/>
        <v>293014.40000000002</v>
      </c>
      <c r="K60" s="162">
        <f t="shared" si="5"/>
        <v>0</v>
      </c>
      <c r="L60" s="162">
        <f t="shared" si="6"/>
        <v>179675.26</v>
      </c>
      <c r="M60" s="162">
        <f t="shared" si="8"/>
        <v>113339.14000000001</v>
      </c>
      <c r="N60" s="180"/>
      <c r="P60" s="165"/>
      <c r="R60" s="162">
        <f>L60-'PAY EST 3'!L59</f>
        <v>179675.26</v>
      </c>
    </row>
    <row r="61" spans="1:18">
      <c r="A61" s="256" t="s">
        <v>260</v>
      </c>
      <c r="B61" s="23" t="str">
        <f t="shared" si="0"/>
        <v>Pavement, HMA, Surface, 2" depth</v>
      </c>
      <c r="C61" s="137"/>
      <c r="D61" s="24" t="str">
        <f t="shared" si="1"/>
        <v>ton</v>
      </c>
      <c r="E61" s="231">
        <f t="shared" si="2"/>
        <v>108</v>
      </c>
      <c r="F61" s="225">
        <f t="shared" si="3"/>
        <v>1144.4000000000001</v>
      </c>
      <c r="G61" s="227"/>
      <c r="H61" s="227">
        <v>615.46</v>
      </c>
      <c r="I61" s="167">
        <f t="shared" si="7"/>
        <v>528.94000000000005</v>
      </c>
      <c r="J61" s="162">
        <f t="shared" si="4"/>
        <v>123595.20000000001</v>
      </c>
      <c r="K61" s="162">
        <f t="shared" si="5"/>
        <v>0</v>
      </c>
      <c r="L61" s="162">
        <f t="shared" si="6"/>
        <v>66469.680000000008</v>
      </c>
      <c r="M61" s="162">
        <f t="shared" si="8"/>
        <v>57125.520000000004</v>
      </c>
      <c r="N61" s="180"/>
      <c r="P61" s="165"/>
      <c r="R61" s="162">
        <f>L61-'PAY EST 3'!L60</f>
        <v>66469.680000000008</v>
      </c>
    </row>
    <row r="62" spans="1:18">
      <c r="A62" s="256" t="s">
        <v>261</v>
      </c>
      <c r="B62" s="23" t="str">
        <f t="shared" si="0"/>
        <v>Removal of Sidewalk/Driveway</v>
      </c>
      <c r="C62" s="137"/>
      <c r="D62" s="24" t="str">
        <f t="shared" si="1"/>
        <v>sy</v>
      </c>
      <c r="E62" s="231">
        <f t="shared" si="2"/>
        <v>10.75</v>
      </c>
      <c r="F62" s="225">
        <f t="shared" si="3"/>
        <v>1191.7</v>
      </c>
      <c r="G62" s="227"/>
      <c r="H62" s="227">
        <v>1190.6099999999999</v>
      </c>
      <c r="I62" s="167">
        <f t="shared" si="7"/>
        <v>1.0900000000001455</v>
      </c>
      <c r="J62" s="162">
        <f t="shared" si="4"/>
        <v>12810.775</v>
      </c>
      <c r="K62" s="162">
        <f t="shared" si="5"/>
        <v>0</v>
      </c>
      <c r="L62" s="162">
        <f t="shared" si="6"/>
        <v>12799.057499999999</v>
      </c>
      <c r="M62" s="162">
        <f t="shared" si="8"/>
        <v>11.717500000000655</v>
      </c>
      <c r="N62" s="180"/>
      <c r="P62" s="165"/>
      <c r="R62" s="162">
        <f>L62-'PAY EST 3'!L61</f>
        <v>11012.407499999999</v>
      </c>
    </row>
    <row r="63" spans="1:18">
      <c r="A63" s="358" t="s">
        <v>262</v>
      </c>
      <c r="B63" s="325" t="str">
        <f t="shared" si="0"/>
        <v>Sidewalk/Drive, PCC, 6"/4" depth</v>
      </c>
      <c r="C63" s="337"/>
      <c r="D63" s="338" t="str">
        <f t="shared" si="1"/>
        <v>sy</v>
      </c>
      <c r="E63" s="339">
        <f t="shared" si="2"/>
        <v>94</v>
      </c>
      <c r="F63" s="340">
        <f t="shared" si="3"/>
        <v>1293</v>
      </c>
      <c r="G63" s="341"/>
      <c r="H63" s="341">
        <v>773.5</v>
      </c>
      <c r="I63" s="342">
        <f t="shared" si="7"/>
        <v>519.5</v>
      </c>
      <c r="J63" s="343">
        <f t="shared" si="4"/>
        <v>121542</v>
      </c>
      <c r="K63" s="343">
        <f t="shared" si="5"/>
        <v>0</v>
      </c>
      <c r="L63" s="343">
        <f t="shared" si="6"/>
        <v>72709</v>
      </c>
      <c r="M63" s="343">
        <f t="shared" si="8"/>
        <v>48833</v>
      </c>
      <c r="N63" s="180"/>
      <c r="P63" s="165"/>
      <c r="R63" s="343">
        <f>L63-'PAY EST 3'!L62</f>
        <v>72709</v>
      </c>
    </row>
    <row r="64" spans="1:18">
      <c r="A64" s="256" t="s">
        <v>263</v>
      </c>
      <c r="B64" s="23" t="str">
        <f t="shared" si="0"/>
        <v>Detectable Warning</v>
      </c>
      <c r="C64" s="137"/>
      <c r="D64" s="24" t="str">
        <f t="shared" si="1"/>
        <v>sf</v>
      </c>
      <c r="E64" s="231">
        <f t="shared" si="2"/>
        <v>45</v>
      </c>
      <c r="F64" s="225">
        <f t="shared" si="3"/>
        <v>263</v>
      </c>
      <c r="G64" s="227"/>
      <c r="H64" s="227">
        <v>78.400000000000006</v>
      </c>
      <c r="I64" s="167">
        <f t="shared" si="7"/>
        <v>184.6</v>
      </c>
      <c r="J64" s="162">
        <f t="shared" si="4"/>
        <v>11835</v>
      </c>
      <c r="K64" s="162">
        <f t="shared" si="5"/>
        <v>0</v>
      </c>
      <c r="L64" s="162">
        <f t="shared" si="6"/>
        <v>3528.0000000000005</v>
      </c>
      <c r="M64" s="162">
        <f t="shared" si="8"/>
        <v>8307</v>
      </c>
      <c r="N64" s="180"/>
      <c r="P64" s="165"/>
      <c r="R64" s="162">
        <f>L64-'PAY EST 3'!L63</f>
        <v>3528.0000000000005</v>
      </c>
    </row>
    <row r="65" spans="1:18">
      <c r="A65" s="256" t="s">
        <v>264</v>
      </c>
      <c r="B65" s="23" t="str">
        <f t="shared" si="0"/>
        <v>Full Depth Patch, PCC</v>
      </c>
      <c r="C65" s="137"/>
      <c r="D65" s="24" t="str">
        <f t="shared" si="1"/>
        <v>sy</v>
      </c>
      <c r="E65" s="231">
        <f t="shared" si="2"/>
        <v>112</v>
      </c>
      <c r="F65" s="225">
        <f t="shared" si="3"/>
        <v>44.2</v>
      </c>
      <c r="G65" s="227"/>
      <c r="H65" s="227">
        <v>44.7</v>
      </c>
      <c r="I65" s="167">
        <f t="shared" si="7"/>
        <v>-0.5</v>
      </c>
      <c r="J65" s="162">
        <f t="shared" si="4"/>
        <v>4950.4000000000005</v>
      </c>
      <c r="K65" s="162">
        <f t="shared" si="5"/>
        <v>0</v>
      </c>
      <c r="L65" s="162">
        <f t="shared" si="6"/>
        <v>5006.4000000000005</v>
      </c>
      <c r="M65" s="162">
        <f t="shared" si="8"/>
        <v>-56</v>
      </c>
      <c r="N65" s="180"/>
      <c r="P65" s="165"/>
      <c r="R65" s="162">
        <f>L65-'PAY EST 3'!L64</f>
        <v>5006.4000000000005</v>
      </c>
    </row>
    <row r="66" spans="1:18">
      <c r="A66" s="256" t="s">
        <v>265</v>
      </c>
      <c r="B66" s="23" t="str">
        <f t="shared" si="0"/>
        <v>Milling</v>
      </c>
      <c r="C66" s="137"/>
      <c r="D66" s="24" t="str">
        <f t="shared" si="1"/>
        <v>sy</v>
      </c>
      <c r="E66" s="231">
        <f t="shared" si="2"/>
        <v>78</v>
      </c>
      <c r="F66" s="225">
        <f t="shared" si="3"/>
        <v>52.7</v>
      </c>
      <c r="G66" s="227"/>
      <c r="H66" s="227">
        <v>0</v>
      </c>
      <c r="I66" s="167">
        <f t="shared" si="7"/>
        <v>52.7</v>
      </c>
      <c r="J66" s="162">
        <f t="shared" si="4"/>
        <v>4110.6000000000004</v>
      </c>
      <c r="K66" s="162">
        <f t="shared" si="5"/>
        <v>0</v>
      </c>
      <c r="L66" s="162">
        <f t="shared" si="6"/>
        <v>0</v>
      </c>
      <c r="M66" s="162">
        <f t="shared" si="8"/>
        <v>4110.6000000000004</v>
      </c>
      <c r="N66" s="180"/>
      <c r="P66" s="165"/>
      <c r="R66" s="162">
        <f>L66-'PAY EST 3'!L65</f>
        <v>0</v>
      </c>
    </row>
    <row r="67" spans="1:18">
      <c r="A67" s="256" t="s">
        <v>266</v>
      </c>
      <c r="B67" s="23" t="str">
        <f t="shared" si="0"/>
        <v>Pavement Removal</v>
      </c>
      <c r="C67" s="137"/>
      <c r="D67" s="24" t="str">
        <f t="shared" si="1"/>
        <v>sy</v>
      </c>
      <c r="E67" s="231">
        <f t="shared" si="2"/>
        <v>5.5</v>
      </c>
      <c r="F67" s="225">
        <f t="shared" si="3"/>
        <v>9400.1</v>
      </c>
      <c r="G67" s="227"/>
      <c r="H67" s="227">
        <v>9327</v>
      </c>
      <c r="I67" s="167">
        <f t="shared" si="7"/>
        <v>73.100000000000364</v>
      </c>
      <c r="J67" s="162">
        <f t="shared" si="4"/>
        <v>51700.55</v>
      </c>
      <c r="K67" s="162">
        <f t="shared" si="5"/>
        <v>0</v>
      </c>
      <c r="L67" s="162">
        <f t="shared" si="6"/>
        <v>51298.5</v>
      </c>
      <c r="M67" s="162">
        <f t="shared" si="8"/>
        <v>402.05000000000291</v>
      </c>
      <c r="N67" s="180"/>
      <c r="P67" s="165"/>
      <c r="R67" s="162">
        <f>L67-'PAY EST 3'!L66</f>
        <v>43543.5</v>
      </c>
    </row>
    <row r="68" spans="1:18">
      <c r="A68" s="256" t="s">
        <v>288</v>
      </c>
      <c r="B68" s="23" t="str">
        <f t="shared" si="0"/>
        <v>Curb &amp; Gutter Removal</v>
      </c>
      <c r="C68" s="137"/>
      <c r="D68" s="24" t="str">
        <f t="shared" si="1"/>
        <v>lf</v>
      </c>
      <c r="E68" s="231">
        <f t="shared" si="2"/>
        <v>6.25</v>
      </c>
      <c r="F68" s="225">
        <f t="shared" si="3"/>
        <v>5281</v>
      </c>
      <c r="G68" s="227"/>
      <c r="H68" s="227">
        <v>5282</v>
      </c>
      <c r="I68" s="167">
        <f t="shared" si="7"/>
        <v>-1</v>
      </c>
      <c r="J68" s="162">
        <f t="shared" si="4"/>
        <v>33006.25</v>
      </c>
      <c r="K68" s="162">
        <f t="shared" si="5"/>
        <v>0</v>
      </c>
      <c r="L68" s="162">
        <f t="shared" si="6"/>
        <v>33012.5</v>
      </c>
      <c r="M68" s="162">
        <f t="shared" si="8"/>
        <v>-6.25</v>
      </c>
      <c r="N68" s="180"/>
      <c r="P68" s="165"/>
      <c r="R68" s="162">
        <f>L68-'PAY EST 3'!L67</f>
        <v>30456.25</v>
      </c>
    </row>
    <row r="69" spans="1:18">
      <c r="A69" s="256" t="s">
        <v>267</v>
      </c>
      <c r="B69" s="23" t="str">
        <f t="shared" si="0"/>
        <v>Engineering Fabric/Geogrid Fabric</v>
      </c>
      <c r="C69" s="137"/>
      <c r="D69" s="24" t="str">
        <f t="shared" si="1"/>
        <v>sy</v>
      </c>
      <c r="E69" s="231">
        <f t="shared" si="2"/>
        <v>3.5</v>
      </c>
      <c r="F69" s="225">
        <f t="shared" si="3"/>
        <v>2996</v>
      </c>
      <c r="G69" s="227"/>
      <c r="H69" s="227">
        <v>2897.4</v>
      </c>
      <c r="I69" s="167">
        <f t="shared" si="7"/>
        <v>98.599999999999909</v>
      </c>
      <c r="J69" s="162">
        <f t="shared" si="4"/>
        <v>10486</v>
      </c>
      <c r="K69" s="162">
        <f t="shared" si="5"/>
        <v>0</v>
      </c>
      <c r="L69" s="162">
        <f t="shared" si="6"/>
        <v>10140.9</v>
      </c>
      <c r="M69" s="162">
        <f t="shared" si="8"/>
        <v>345.10000000000036</v>
      </c>
      <c r="N69" s="180"/>
      <c r="P69" s="165"/>
      <c r="R69" s="162">
        <f>L69-'PAY EST 3'!L68</f>
        <v>10140.9</v>
      </c>
    </row>
    <row r="70" spans="1:18">
      <c r="A70" s="256"/>
      <c r="B70" s="23" t="e">
        <f t="shared" si="0"/>
        <v>#N/A</v>
      </c>
      <c r="C70" s="137"/>
      <c r="D70" s="24" t="e">
        <f t="shared" si="1"/>
        <v>#N/A</v>
      </c>
      <c r="E70" s="231" t="e">
        <f t="shared" si="2"/>
        <v>#N/A</v>
      </c>
      <c r="F70" s="225" t="e">
        <f t="shared" si="3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  <c r="R70" s="162">
        <f>L70-'PAY EST 3'!L69</f>
        <v>0</v>
      </c>
    </row>
    <row r="71" spans="1:18">
      <c r="A71" s="256" t="s">
        <v>268</v>
      </c>
      <c r="B71" s="23" t="str">
        <f t="shared" si="0"/>
        <v>Temporary Traffic Control</v>
      </c>
      <c r="C71" s="137"/>
      <c r="D71" s="24" t="str">
        <f t="shared" si="1"/>
        <v>ls</v>
      </c>
      <c r="E71" s="231">
        <f t="shared" si="2"/>
        <v>17350</v>
      </c>
      <c r="F71" s="225">
        <f t="shared" si="3"/>
        <v>1</v>
      </c>
      <c r="G71" s="227"/>
      <c r="H71" s="227">
        <v>1</v>
      </c>
      <c r="I71" s="167">
        <f t="shared" si="7"/>
        <v>0</v>
      </c>
      <c r="J71" s="162">
        <f t="shared" si="4"/>
        <v>17350</v>
      </c>
      <c r="K71" s="162">
        <f t="shared" si="5"/>
        <v>0</v>
      </c>
      <c r="L71" s="162">
        <f t="shared" si="6"/>
        <v>17350</v>
      </c>
      <c r="M71" s="162">
        <f t="shared" si="8"/>
        <v>0</v>
      </c>
      <c r="N71" s="180"/>
      <c r="P71" s="165"/>
      <c r="R71" s="162">
        <f>L71-'PAY EST 3'!L70</f>
        <v>12145</v>
      </c>
    </row>
    <row r="72" spans="1:18">
      <c r="A72" s="256"/>
      <c r="B72" s="23" t="e">
        <f t="shared" si="0"/>
        <v>#N/A</v>
      </c>
      <c r="C72" s="137"/>
      <c r="D72" s="24" t="e">
        <f t="shared" si="1"/>
        <v>#N/A</v>
      </c>
      <c r="E72" s="232" t="e">
        <f t="shared" si="2"/>
        <v>#N/A</v>
      </c>
      <c r="F72" s="225" t="e">
        <f t="shared" si="3"/>
        <v>#N/A</v>
      </c>
      <c r="G72" s="227"/>
      <c r="H72" s="227"/>
      <c r="I72" s="167" t="e">
        <f t="shared" si="7"/>
        <v>#N/A</v>
      </c>
      <c r="J72" s="162">
        <f t="shared" si="4"/>
        <v>0</v>
      </c>
      <c r="K72" s="162">
        <f t="shared" si="5"/>
        <v>0</v>
      </c>
      <c r="L72" s="162">
        <f t="shared" si="6"/>
        <v>0</v>
      </c>
      <c r="M72" s="162">
        <f t="shared" si="8"/>
        <v>0</v>
      </c>
      <c r="N72" s="180"/>
      <c r="P72" s="165"/>
      <c r="R72" s="162">
        <f>L72-'PAY EST 3'!L71</f>
        <v>0</v>
      </c>
    </row>
    <row r="73" spans="1:18">
      <c r="A73" s="256" t="s">
        <v>269</v>
      </c>
      <c r="B73" s="23" t="str">
        <f t="shared" si="0"/>
        <v>Wattles</v>
      </c>
      <c r="C73" s="137"/>
      <c r="D73" s="24" t="str">
        <f t="shared" si="1"/>
        <v>lf</v>
      </c>
      <c r="E73" s="232">
        <f t="shared" si="2"/>
        <v>3.7</v>
      </c>
      <c r="F73" s="225">
        <f t="shared" si="3"/>
        <v>500</v>
      </c>
      <c r="G73" s="227"/>
      <c r="H73" s="227">
        <v>74</v>
      </c>
      <c r="I73" s="167">
        <f t="shared" si="7"/>
        <v>426</v>
      </c>
      <c r="J73" s="162">
        <f t="shared" si="4"/>
        <v>1850</v>
      </c>
      <c r="K73" s="162">
        <f t="shared" si="5"/>
        <v>0</v>
      </c>
      <c r="L73" s="162">
        <f t="shared" si="6"/>
        <v>273.8</v>
      </c>
      <c r="M73" s="162">
        <f t="shared" si="8"/>
        <v>1576.2</v>
      </c>
      <c r="N73" s="180"/>
      <c r="P73" s="165"/>
      <c r="R73" s="162">
        <f>L73-'PAY EST 3'!L72</f>
        <v>0</v>
      </c>
    </row>
    <row r="74" spans="1:18">
      <c r="A74" s="256" t="s">
        <v>270</v>
      </c>
      <c r="B74" s="23" t="str">
        <f t="shared" ref="B74:B108" si="10">VLOOKUP($A74,BIDTAB,2,FALSE)</f>
        <v>Inlet Protection Device</v>
      </c>
      <c r="C74" s="137"/>
      <c r="D74" s="24" t="str">
        <f t="shared" ref="D74:D108" si="11">VLOOKUP($A74,BIDTAB,3,FALSE)</f>
        <v>ea</v>
      </c>
      <c r="E74" s="233">
        <f t="shared" ref="E74:E108" si="12">VLOOKUP($A74,BIDTAB,7,FALSE)</f>
        <v>210</v>
      </c>
      <c r="F74" s="225">
        <f t="shared" ref="F74:F108" si="13">VLOOKUP($A74,BIDTAB,4,FALSE)</f>
        <v>17</v>
      </c>
      <c r="G74" s="227"/>
      <c r="H74" s="227">
        <v>4</v>
      </c>
      <c r="I74" s="167">
        <f t="shared" si="7"/>
        <v>13</v>
      </c>
      <c r="J74" s="162">
        <f t="shared" ref="J74:J77" si="14">IF(ISERROR(F74*E74),0,F74*E74)</f>
        <v>3570</v>
      </c>
      <c r="K74" s="162">
        <f t="shared" ref="K74:K77" si="15">IF(ISERROR(G74*E74),0,G74*E74)</f>
        <v>0</v>
      </c>
      <c r="L74" s="162">
        <f t="shared" ref="L74:L77" si="16">IF(ISERROR(H74*E74),0,H74*E74)</f>
        <v>840</v>
      </c>
      <c r="M74" s="162">
        <f t="shared" si="8"/>
        <v>2730</v>
      </c>
      <c r="N74" s="180"/>
      <c r="P74" s="165"/>
      <c r="R74" s="162">
        <f>L74-'PAY EST 3'!L73</f>
        <v>0</v>
      </c>
    </row>
    <row r="75" spans="1:18">
      <c r="A75" s="256" t="s">
        <v>271</v>
      </c>
      <c r="B75" s="23" t="str">
        <f t="shared" si="10"/>
        <v>Inlet Protection Device, Maintenance</v>
      </c>
      <c r="C75" s="137"/>
      <c r="D75" s="24" t="str">
        <f t="shared" si="11"/>
        <v>ea</v>
      </c>
      <c r="E75" s="233">
        <f t="shared" si="12"/>
        <v>52.5</v>
      </c>
      <c r="F75" s="225">
        <f t="shared" si="13"/>
        <v>17</v>
      </c>
      <c r="G75" s="227"/>
      <c r="H75" s="227">
        <v>12</v>
      </c>
      <c r="I75" s="167">
        <f t="shared" ref="I75:I108" si="17">IF(ISBLANK(G75),F75,F75+G75)-H75</f>
        <v>5</v>
      </c>
      <c r="J75" s="162">
        <f t="shared" si="14"/>
        <v>892.5</v>
      </c>
      <c r="K75" s="162">
        <f t="shared" si="15"/>
        <v>0</v>
      </c>
      <c r="L75" s="162">
        <f t="shared" si="16"/>
        <v>630</v>
      </c>
      <c r="M75" s="162">
        <f t="shared" ref="M75:M77" si="18">SUM(J75:K75)-L75</f>
        <v>262.5</v>
      </c>
      <c r="N75" s="180"/>
      <c r="P75" s="165"/>
      <c r="R75" s="162">
        <f>L75-'PAY EST 3'!L74</f>
        <v>420</v>
      </c>
    </row>
    <row r="76" spans="1:18">
      <c r="A76" s="256" t="s">
        <v>272</v>
      </c>
      <c r="B76" s="23" t="str">
        <f t="shared" si="10"/>
        <v>Modular Block Retaining Wall</v>
      </c>
      <c r="C76" s="137"/>
      <c r="D76" s="24" t="str">
        <f t="shared" si="11"/>
        <v>sf</v>
      </c>
      <c r="E76" s="233">
        <f t="shared" si="12"/>
        <v>70.349999999999994</v>
      </c>
      <c r="F76" s="225">
        <f t="shared" si="13"/>
        <v>60</v>
      </c>
      <c r="G76" s="227"/>
      <c r="H76" s="227">
        <v>27</v>
      </c>
      <c r="I76" s="167">
        <f t="shared" si="17"/>
        <v>33</v>
      </c>
      <c r="J76" s="162">
        <f t="shared" si="14"/>
        <v>4221</v>
      </c>
      <c r="K76" s="162">
        <f t="shared" si="15"/>
        <v>0</v>
      </c>
      <c r="L76" s="162">
        <f t="shared" si="16"/>
        <v>1899.4499999999998</v>
      </c>
      <c r="M76" s="162">
        <f t="shared" si="18"/>
        <v>2321.5500000000002</v>
      </c>
      <c r="N76" s="180"/>
      <c r="P76" s="165"/>
      <c r="R76" s="162">
        <f>L76-'PAY EST 3'!L75</f>
        <v>1899.4499999999998</v>
      </c>
    </row>
    <row r="77" spans="1:18">
      <c r="A77" s="256"/>
      <c r="B77" s="23" t="e">
        <f t="shared" si="10"/>
        <v>#N/A</v>
      </c>
      <c r="C77" s="137"/>
      <c r="D77" s="24" t="e">
        <f t="shared" si="11"/>
        <v>#N/A</v>
      </c>
      <c r="E77" s="232" t="e">
        <f t="shared" si="12"/>
        <v>#N/A</v>
      </c>
      <c r="F77" s="225" t="e">
        <f t="shared" si="13"/>
        <v>#N/A</v>
      </c>
      <c r="G77" s="227"/>
      <c r="H77" s="227"/>
      <c r="I77" s="167" t="e">
        <f t="shared" si="17"/>
        <v>#N/A</v>
      </c>
      <c r="J77" s="162">
        <f t="shared" si="14"/>
        <v>0</v>
      </c>
      <c r="K77" s="162">
        <f t="shared" si="15"/>
        <v>0</v>
      </c>
      <c r="L77" s="162">
        <f t="shared" si="16"/>
        <v>0</v>
      </c>
      <c r="M77" s="162">
        <f t="shared" si="18"/>
        <v>0</v>
      </c>
      <c r="N77" s="180"/>
      <c r="P77" s="165"/>
      <c r="R77" s="162">
        <f>L77-'PAY EST 3'!L76</f>
        <v>0</v>
      </c>
    </row>
    <row r="78" spans="1:18">
      <c r="A78" s="256" t="s">
        <v>273</v>
      </c>
      <c r="B78" s="23" t="str">
        <f t="shared" si="10"/>
        <v>Construction Survey/Staking</v>
      </c>
      <c r="C78" s="137"/>
      <c r="D78" s="24" t="str">
        <f t="shared" si="11"/>
        <v>ls</v>
      </c>
      <c r="E78" s="232">
        <f t="shared" si="12"/>
        <v>16065</v>
      </c>
      <c r="F78" s="225">
        <f t="shared" si="13"/>
        <v>1</v>
      </c>
      <c r="G78" s="227"/>
      <c r="H78" s="227">
        <v>1</v>
      </c>
      <c r="I78" s="167">
        <f t="shared" si="17"/>
        <v>0</v>
      </c>
      <c r="J78" s="162">
        <f>IF(ISERROR(F78*E78),0,F78*E78)</f>
        <v>16065</v>
      </c>
      <c r="K78" s="162">
        <f>IF(ISERROR(G78*E78),0,G78*E78)</f>
        <v>0</v>
      </c>
      <c r="L78" s="162">
        <f>IF(ISERROR(H78*E78),0,H78*E78)</f>
        <v>16065</v>
      </c>
      <c r="M78" s="162">
        <f t="shared" ref="M78:M108" si="19">SUM(J78:K78)-L78</f>
        <v>0</v>
      </c>
      <c r="N78" s="180"/>
      <c r="P78" s="165"/>
      <c r="R78" s="162">
        <f>L78-'PAY EST 3'!L77</f>
        <v>9639</v>
      </c>
    </row>
    <row r="79" spans="1:18">
      <c r="A79" s="256" t="s">
        <v>274</v>
      </c>
      <c r="B79" s="23" t="str">
        <f t="shared" si="10"/>
        <v>Pedestrian Facility Construction Survey &amp; Staking</v>
      </c>
      <c r="C79" s="137"/>
      <c r="D79" s="24" t="str">
        <f t="shared" si="11"/>
        <v>ea</v>
      </c>
      <c r="E79" s="232">
        <f t="shared" si="12"/>
        <v>275</v>
      </c>
      <c r="F79" s="225">
        <f t="shared" si="13"/>
        <v>13</v>
      </c>
      <c r="G79" s="227"/>
      <c r="H79" s="227">
        <v>0</v>
      </c>
      <c r="I79" s="167">
        <f t="shared" si="17"/>
        <v>13</v>
      </c>
      <c r="J79" s="162">
        <f t="shared" ref="J79:J108" si="20">IF(ISERROR(F79*E79),0,F79*E79)</f>
        <v>3575</v>
      </c>
      <c r="K79" s="162">
        <f t="shared" ref="K79:K108" si="21">IF(ISERROR(G79*E79),0,G79*E79)</f>
        <v>0</v>
      </c>
      <c r="L79" s="162">
        <f t="shared" ref="L79:L108" si="22">IF(ISERROR(H79*E79),0,H79*E79)</f>
        <v>0</v>
      </c>
      <c r="M79" s="162">
        <f t="shared" si="19"/>
        <v>3575</v>
      </c>
      <c r="N79" s="180"/>
      <c r="P79" s="165"/>
      <c r="R79" s="162">
        <f>L79-'PAY EST 3'!L78</f>
        <v>0</v>
      </c>
    </row>
    <row r="80" spans="1:18">
      <c r="A80" s="256" t="s">
        <v>275</v>
      </c>
      <c r="B80" s="23" t="str">
        <f t="shared" si="10"/>
        <v>Monument Preservation or Replacement</v>
      </c>
      <c r="C80" s="137"/>
      <c r="D80" s="24" t="str">
        <f t="shared" si="11"/>
        <v>ls</v>
      </c>
      <c r="E80" s="231">
        <f t="shared" si="12"/>
        <v>2310</v>
      </c>
      <c r="F80" s="225">
        <f t="shared" si="13"/>
        <v>1</v>
      </c>
      <c r="G80" s="227"/>
      <c r="H80" s="227">
        <v>0</v>
      </c>
      <c r="I80" s="167">
        <f t="shared" si="17"/>
        <v>1</v>
      </c>
      <c r="J80" s="162">
        <f t="shared" si="20"/>
        <v>2310</v>
      </c>
      <c r="K80" s="162">
        <f t="shared" si="21"/>
        <v>0</v>
      </c>
      <c r="L80" s="162">
        <f t="shared" si="22"/>
        <v>0</v>
      </c>
      <c r="M80" s="162">
        <f t="shared" si="19"/>
        <v>2310</v>
      </c>
      <c r="N80" s="180"/>
      <c r="P80" s="165"/>
      <c r="R80" s="162">
        <f>L80-'PAY EST 3'!L79</f>
        <v>0</v>
      </c>
    </row>
    <row r="81" spans="1:18">
      <c r="A81" s="256" t="s">
        <v>276</v>
      </c>
      <c r="B81" s="23" t="str">
        <f t="shared" si="10"/>
        <v>Mobilization</v>
      </c>
      <c r="C81" s="137"/>
      <c r="D81" s="24" t="str">
        <f t="shared" si="11"/>
        <v>ls</v>
      </c>
      <c r="E81" s="231">
        <f t="shared" si="12"/>
        <v>35000</v>
      </c>
      <c r="F81" s="225">
        <f t="shared" si="13"/>
        <v>1</v>
      </c>
      <c r="G81" s="227"/>
      <c r="H81" s="227">
        <v>0.85</v>
      </c>
      <c r="I81" s="167">
        <f t="shared" si="17"/>
        <v>0.15000000000000002</v>
      </c>
      <c r="J81" s="162">
        <f t="shared" si="20"/>
        <v>35000</v>
      </c>
      <c r="K81" s="162">
        <f t="shared" si="21"/>
        <v>0</v>
      </c>
      <c r="L81" s="162">
        <f t="shared" si="22"/>
        <v>29750</v>
      </c>
      <c r="M81" s="162">
        <f t="shared" si="19"/>
        <v>5250</v>
      </c>
      <c r="N81" s="180"/>
      <c r="P81" s="165"/>
      <c r="R81" s="162">
        <f>L81-'PAY EST 3'!L80</f>
        <v>19250</v>
      </c>
    </row>
    <row r="82" spans="1:18">
      <c r="A82" s="256" t="s">
        <v>277</v>
      </c>
      <c r="B82" s="23" t="str">
        <f t="shared" si="10"/>
        <v>Concrete Washout</v>
      </c>
      <c r="C82" s="137"/>
      <c r="D82" s="24" t="str">
        <f t="shared" si="11"/>
        <v>ls</v>
      </c>
      <c r="E82" s="231">
        <f t="shared" si="12"/>
        <v>3900</v>
      </c>
      <c r="F82" s="225">
        <f t="shared" si="13"/>
        <v>1</v>
      </c>
      <c r="G82" s="227"/>
      <c r="H82" s="227">
        <v>0.5</v>
      </c>
      <c r="I82" s="167">
        <f t="shared" si="17"/>
        <v>0.5</v>
      </c>
      <c r="J82" s="162">
        <f t="shared" si="20"/>
        <v>3900</v>
      </c>
      <c r="K82" s="162">
        <f t="shared" si="21"/>
        <v>0</v>
      </c>
      <c r="L82" s="162">
        <f t="shared" si="22"/>
        <v>1950</v>
      </c>
      <c r="M82" s="162">
        <f t="shared" si="19"/>
        <v>1950</v>
      </c>
      <c r="N82" s="180"/>
      <c r="P82" s="165"/>
      <c r="R82" s="162">
        <f>L82-'PAY EST 3'!L81</f>
        <v>1950</v>
      </c>
    </row>
    <row r="83" spans="1:18">
      <c r="A83" s="256"/>
      <c r="B83" s="23" t="e">
        <f t="shared" si="10"/>
        <v>#N/A</v>
      </c>
      <c r="C83" s="137"/>
      <c r="D83" s="24" t="e">
        <f t="shared" si="11"/>
        <v>#N/A</v>
      </c>
      <c r="E83" s="231" t="e">
        <f t="shared" si="12"/>
        <v>#N/A</v>
      </c>
      <c r="F83" s="225" t="e">
        <f t="shared" si="13"/>
        <v>#N/A</v>
      </c>
      <c r="G83" s="227"/>
      <c r="H83" s="227"/>
      <c r="I83" s="167" t="e">
        <f t="shared" si="17"/>
        <v>#N/A</v>
      </c>
      <c r="J83" s="162">
        <f t="shared" si="20"/>
        <v>0</v>
      </c>
      <c r="K83" s="162">
        <f t="shared" si="21"/>
        <v>0</v>
      </c>
      <c r="L83" s="162">
        <f t="shared" si="22"/>
        <v>0</v>
      </c>
      <c r="M83" s="162">
        <f t="shared" si="19"/>
        <v>0</v>
      </c>
      <c r="N83" s="180"/>
      <c r="P83" s="165"/>
      <c r="R83" s="354">
        <f>L83-'PAY EST 3'!L82</f>
        <v>0</v>
      </c>
    </row>
    <row r="84" spans="1:18">
      <c r="A84" s="256"/>
      <c r="B84" s="23" t="e">
        <f t="shared" si="10"/>
        <v>#N/A</v>
      </c>
      <c r="C84" s="137"/>
      <c r="D84" s="24" t="e">
        <f t="shared" si="11"/>
        <v>#N/A</v>
      </c>
      <c r="E84" s="231" t="e">
        <f t="shared" si="12"/>
        <v>#N/A</v>
      </c>
      <c r="F84" s="225" t="e">
        <f t="shared" si="13"/>
        <v>#N/A</v>
      </c>
      <c r="G84" s="227"/>
      <c r="H84" s="227"/>
      <c r="I84" s="167" t="e">
        <f t="shared" si="17"/>
        <v>#N/A</v>
      </c>
      <c r="J84" s="162">
        <f t="shared" si="20"/>
        <v>0</v>
      </c>
      <c r="K84" s="162">
        <f t="shared" si="21"/>
        <v>0</v>
      </c>
      <c r="L84" s="162">
        <f t="shared" si="22"/>
        <v>0</v>
      </c>
      <c r="M84" s="162">
        <f t="shared" si="19"/>
        <v>0</v>
      </c>
      <c r="N84" s="180"/>
      <c r="P84" s="165"/>
      <c r="R84" s="354">
        <f>L84-'PAY EST 3'!L83</f>
        <v>0</v>
      </c>
    </row>
    <row r="85" spans="1:18">
      <c r="A85" s="256"/>
      <c r="B85" s="23" t="e">
        <f t="shared" si="10"/>
        <v>#N/A</v>
      </c>
      <c r="C85" s="137"/>
      <c r="D85" s="24" t="e">
        <f t="shared" si="11"/>
        <v>#N/A</v>
      </c>
      <c r="E85" s="231" t="e">
        <f t="shared" si="12"/>
        <v>#N/A</v>
      </c>
      <c r="F85" s="225" t="e">
        <f t="shared" si="13"/>
        <v>#N/A</v>
      </c>
      <c r="G85" s="227"/>
      <c r="H85" s="227"/>
      <c r="I85" s="167" t="e">
        <f t="shared" si="17"/>
        <v>#N/A</v>
      </c>
      <c r="J85" s="162">
        <f t="shared" si="20"/>
        <v>0</v>
      </c>
      <c r="K85" s="162">
        <f t="shared" si="21"/>
        <v>0</v>
      </c>
      <c r="L85" s="162">
        <f t="shared" si="22"/>
        <v>0</v>
      </c>
      <c r="M85" s="162">
        <f t="shared" si="19"/>
        <v>0</v>
      </c>
      <c r="N85" s="180"/>
      <c r="P85" s="165"/>
      <c r="R85" s="354">
        <f>L85-'PAY EST 3'!L84</f>
        <v>0</v>
      </c>
    </row>
    <row r="86" spans="1:18">
      <c r="A86" s="256"/>
      <c r="B86" s="23" t="e">
        <f t="shared" si="10"/>
        <v>#N/A</v>
      </c>
      <c r="C86" s="137"/>
      <c r="D86" s="24" t="e">
        <f t="shared" si="11"/>
        <v>#N/A</v>
      </c>
      <c r="E86" s="231" t="e">
        <f t="shared" si="12"/>
        <v>#N/A</v>
      </c>
      <c r="F86" s="225" t="e">
        <f t="shared" si="13"/>
        <v>#N/A</v>
      </c>
      <c r="G86" s="227"/>
      <c r="H86" s="227"/>
      <c r="I86" s="167" t="e">
        <f t="shared" si="17"/>
        <v>#N/A</v>
      </c>
      <c r="J86" s="162">
        <f t="shared" si="20"/>
        <v>0</v>
      </c>
      <c r="K86" s="162">
        <f t="shared" si="21"/>
        <v>0</v>
      </c>
      <c r="L86" s="162">
        <f t="shared" si="22"/>
        <v>0</v>
      </c>
      <c r="M86" s="162">
        <f t="shared" si="19"/>
        <v>0</v>
      </c>
      <c r="N86" s="180"/>
      <c r="P86" s="165"/>
      <c r="R86" s="354">
        <f>L86-'PAY EST 3'!L85</f>
        <v>0</v>
      </c>
    </row>
    <row r="87" spans="1:18">
      <c r="A87" s="256"/>
      <c r="B87" s="23" t="e">
        <f t="shared" si="10"/>
        <v>#N/A</v>
      </c>
      <c r="C87" s="137"/>
      <c r="D87" s="24" t="e">
        <f t="shared" si="11"/>
        <v>#N/A</v>
      </c>
      <c r="E87" s="231" t="e">
        <f t="shared" si="12"/>
        <v>#N/A</v>
      </c>
      <c r="F87" s="225" t="e">
        <f t="shared" si="13"/>
        <v>#N/A</v>
      </c>
      <c r="G87" s="227"/>
      <c r="H87" s="227"/>
      <c r="I87" s="167" t="e">
        <f t="shared" si="17"/>
        <v>#N/A</v>
      </c>
      <c r="J87" s="162">
        <f t="shared" si="20"/>
        <v>0</v>
      </c>
      <c r="K87" s="162">
        <f t="shared" si="21"/>
        <v>0</v>
      </c>
      <c r="L87" s="162">
        <f t="shared" si="22"/>
        <v>0</v>
      </c>
      <c r="M87" s="162">
        <f t="shared" si="19"/>
        <v>0</v>
      </c>
      <c r="N87" s="180"/>
      <c r="P87" s="165"/>
      <c r="R87" s="354">
        <f>L87-'PAY EST 3'!L86</f>
        <v>0</v>
      </c>
    </row>
    <row r="88" spans="1:18">
      <c r="A88" s="256"/>
      <c r="B88" s="23" t="e">
        <f t="shared" si="10"/>
        <v>#N/A</v>
      </c>
      <c r="C88" s="137"/>
      <c r="D88" s="24" t="e">
        <f t="shared" si="11"/>
        <v>#N/A</v>
      </c>
      <c r="E88" s="231" t="e">
        <f t="shared" si="12"/>
        <v>#N/A</v>
      </c>
      <c r="F88" s="225" t="e">
        <f t="shared" si="13"/>
        <v>#N/A</v>
      </c>
      <c r="G88" s="227"/>
      <c r="H88" s="227"/>
      <c r="I88" s="167" t="e">
        <f t="shared" si="17"/>
        <v>#N/A</v>
      </c>
      <c r="J88" s="162">
        <f t="shared" si="20"/>
        <v>0</v>
      </c>
      <c r="K88" s="162">
        <f t="shared" si="21"/>
        <v>0</v>
      </c>
      <c r="L88" s="162">
        <f t="shared" si="22"/>
        <v>0</v>
      </c>
      <c r="M88" s="162">
        <f t="shared" si="19"/>
        <v>0</v>
      </c>
      <c r="N88" s="180"/>
      <c r="P88" s="165"/>
      <c r="R88" s="354">
        <f>L88-'PAY EST 3'!L87</f>
        <v>0</v>
      </c>
    </row>
    <row r="89" spans="1:18">
      <c r="A89" s="256"/>
      <c r="B89" s="23" t="e">
        <f t="shared" si="10"/>
        <v>#N/A</v>
      </c>
      <c r="C89" s="137"/>
      <c r="D89" s="24" t="e">
        <f t="shared" si="11"/>
        <v>#N/A</v>
      </c>
      <c r="E89" s="231" t="e">
        <f t="shared" si="12"/>
        <v>#N/A</v>
      </c>
      <c r="F89" s="225" t="e">
        <f t="shared" si="13"/>
        <v>#N/A</v>
      </c>
      <c r="G89" s="227"/>
      <c r="H89" s="227"/>
      <c r="I89" s="167" t="e">
        <f t="shared" si="17"/>
        <v>#N/A</v>
      </c>
      <c r="J89" s="162">
        <f t="shared" si="20"/>
        <v>0</v>
      </c>
      <c r="K89" s="162">
        <f t="shared" si="21"/>
        <v>0</v>
      </c>
      <c r="L89" s="162">
        <f t="shared" si="22"/>
        <v>0</v>
      </c>
      <c r="M89" s="162">
        <f t="shared" si="19"/>
        <v>0</v>
      </c>
      <c r="N89" s="180"/>
      <c r="P89" s="165"/>
      <c r="R89" s="354">
        <f>L89-'PAY EST 3'!L88</f>
        <v>0</v>
      </c>
    </row>
    <row r="90" spans="1:18">
      <c r="A90" s="256"/>
      <c r="B90" s="23" t="e">
        <f t="shared" si="10"/>
        <v>#N/A</v>
      </c>
      <c r="C90" s="137"/>
      <c r="D90" s="24" t="e">
        <f t="shared" si="11"/>
        <v>#N/A</v>
      </c>
      <c r="E90" s="231" t="e">
        <f t="shared" si="12"/>
        <v>#N/A</v>
      </c>
      <c r="F90" s="225" t="e">
        <f t="shared" si="13"/>
        <v>#N/A</v>
      </c>
      <c r="G90" s="227"/>
      <c r="H90" s="227"/>
      <c r="I90" s="167" t="e">
        <f t="shared" si="17"/>
        <v>#N/A</v>
      </c>
      <c r="J90" s="162">
        <f t="shared" si="20"/>
        <v>0</v>
      </c>
      <c r="K90" s="162">
        <f t="shared" si="21"/>
        <v>0</v>
      </c>
      <c r="L90" s="162">
        <f t="shared" si="22"/>
        <v>0</v>
      </c>
      <c r="M90" s="162">
        <f t="shared" si="19"/>
        <v>0</v>
      </c>
      <c r="N90" s="180"/>
      <c r="P90" s="165"/>
      <c r="R90" s="354">
        <f>L90-'PAY EST 3'!L89</f>
        <v>0</v>
      </c>
    </row>
    <row r="91" spans="1:18">
      <c r="A91" s="256"/>
      <c r="B91" s="23" t="e">
        <f t="shared" si="10"/>
        <v>#N/A</v>
      </c>
      <c r="C91" s="137"/>
      <c r="D91" s="24" t="e">
        <f t="shared" si="11"/>
        <v>#N/A</v>
      </c>
      <c r="E91" s="231" t="e">
        <f t="shared" si="12"/>
        <v>#N/A</v>
      </c>
      <c r="F91" s="225" t="e">
        <f t="shared" si="13"/>
        <v>#N/A</v>
      </c>
      <c r="G91" s="227"/>
      <c r="H91" s="227"/>
      <c r="I91" s="167" t="e">
        <f t="shared" si="17"/>
        <v>#N/A</v>
      </c>
      <c r="J91" s="162">
        <f t="shared" si="20"/>
        <v>0</v>
      </c>
      <c r="K91" s="162">
        <f t="shared" si="21"/>
        <v>0</v>
      </c>
      <c r="L91" s="162">
        <f t="shared" si="22"/>
        <v>0</v>
      </c>
      <c r="M91" s="162">
        <f t="shared" si="19"/>
        <v>0</v>
      </c>
      <c r="N91" s="180"/>
      <c r="P91" s="165"/>
      <c r="R91" s="354">
        <f>L91-'PAY EST 3'!L90</f>
        <v>0</v>
      </c>
    </row>
    <row r="92" spans="1:18">
      <c r="A92" s="256"/>
      <c r="B92" s="23" t="e">
        <f t="shared" si="10"/>
        <v>#N/A</v>
      </c>
      <c r="C92" s="137"/>
      <c r="D92" s="24" t="e">
        <f t="shared" si="11"/>
        <v>#N/A</v>
      </c>
      <c r="E92" s="231" t="e">
        <f t="shared" si="12"/>
        <v>#N/A</v>
      </c>
      <c r="F92" s="225" t="e">
        <f t="shared" si="13"/>
        <v>#N/A</v>
      </c>
      <c r="G92" s="227"/>
      <c r="H92" s="227"/>
      <c r="I92" s="167" t="e">
        <f t="shared" si="17"/>
        <v>#N/A</v>
      </c>
      <c r="J92" s="162">
        <f t="shared" si="20"/>
        <v>0</v>
      </c>
      <c r="K92" s="162">
        <f t="shared" si="21"/>
        <v>0</v>
      </c>
      <c r="L92" s="162">
        <f t="shared" si="22"/>
        <v>0</v>
      </c>
      <c r="M92" s="162">
        <f t="shared" si="19"/>
        <v>0</v>
      </c>
      <c r="N92" s="180"/>
      <c r="P92" s="165"/>
      <c r="R92" s="354">
        <f>L92-'PAY EST 3'!L91</f>
        <v>0</v>
      </c>
    </row>
    <row r="93" spans="1:18">
      <c r="A93" s="256"/>
      <c r="B93" s="23" t="e">
        <f t="shared" si="10"/>
        <v>#N/A</v>
      </c>
      <c r="C93" s="137"/>
      <c r="D93" s="24" t="e">
        <f t="shared" si="11"/>
        <v>#N/A</v>
      </c>
      <c r="E93" s="231" t="e">
        <f t="shared" si="12"/>
        <v>#N/A</v>
      </c>
      <c r="F93" s="225" t="e">
        <f t="shared" si="13"/>
        <v>#N/A</v>
      </c>
      <c r="G93" s="227"/>
      <c r="H93" s="227"/>
      <c r="I93" s="167" t="e">
        <f t="shared" si="17"/>
        <v>#N/A</v>
      </c>
      <c r="J93" s="162">
        <f t="shared" si="20"/>
        <v>0</v>
      </c>
      <c r="K93" s="162">
        <f t="shared" si="21"/>
        <v>0</v>
      </c>
      <c r="L93" s="162">
        <f t="shared" si="22"/>
        <v>0</v>
      </c>
      <c r="M93" s="162">
        <f t="shared" si="19"/>
        <v>0</v>
      </c>
      <c r="N93" s="180"/>
      <c r="P93" s="165"/>
      <c r="R93" s="354">
        <f>L93-'PAY EST 3'!L92</f>
        <v>0</v>
      </c>
    </row>
    <row r="94" spans="1:18">
      <c r="A94" s="256"/>
      <c r="B94" s="23" t="e">
        <f t="shared" si="10"/>
        <v>#N/A</v>
      </c>
      <c r="C94" s="137"/>
      <c r="D94" s="24" t="e">
        <f t="shared" si="11"/>
        <v>#N/A</v>
      </c>
      <c r="E94" s="231" t="e">
        <f t="shared" si="12"/>
        <v>#N/A</v>
      </c>
      <c r="F94" s="225" t="e">
        <f t="shared" si="13"/>
        <v>#N/A</v>
      </c>
      <c r="G94" s="227"/>
      <c r="H94" s="227"/>
      <c r="I94" s="167" t="e">
        <f t="shared" si="17"/>
        <v>#N/A</v>
      </c>
      <c r="J94" s="162">
        <f t="shared" si="20"/>
        <v>0</v>
      </c>
      <c r="K94" s="162">
        <f t="shared" si="21"/>
        <v>0</v>
      </c>
      <c r="L94" s="162">
        <f t="shared" si="22"/>
        <v>0</v>
      </c>
      <c r="M94" s="162">
        <f t="shared" si="19"/>
        <v>0</v>
      </c>
      <c r="N94" s="180"/>
      <c r="P94" s="165"/>
      <c r="R94" s="354">
        <f>L94-'PAY EST 3'!L93</f>
        <v>0</v>
      </c>
    </row>
    <row r="95" spans="1:18">
      <c r="A95" s="256"/>
      <c r="B95" s="23" t="e">
        <f t="shared" si="10"/>
        <v>#N/A</v>
      </c>
      <c r="C95" s="137"/>
      <c r="D95" s="24" t="e">
        <f t="shared" si="11"/>
        <v>#N/A</v>
      </c>
      <c r="E95" s="231" t="e">
        <f t="shared" si="12"/>
        <v>#N/A</v>
      </c>
      <c r="F95" s="225" t="e">
        <f t="shared" si="13"/>
        <v>#N/A</v>
      </c>
      <c r="G95" s="227"/>
      <c r="H95" s="227"/>
      <c r="I95" s="167" t="e">
        <f t="shared" si="17"/>
        <v>#N/A</v>
      </c>
      <c r="J95" s="162">
        <f t="shared" si="20"/>
        <v>0</v>
      </c>
      <c r="K95" s="162">
        <f t="shared" si="21"/>
        <v>0</v>
      </c>
      <c r="L95" s="162">
        <f t="shared" si="22"/>
        <v>0</v>
      </c>
      <c r="M95" s="162">
        <f t="shared" si="19"/>
        <v>0</v>
      </c>
      <c r="N95" s="180"/>
      <c r="P95" s="165"/>
      <c r="R95" s="354">
        <f>L95-'PAY EST 3'!L94</f>
        <v>0</v>
      </c>
    </row>
    <row r="96" spans="1:18">
      <c r="A96" s="256"/>
      <c r="B96" s="23" t="e">
        <f t="shared" si="10"/>
        <v>#N/A</v>
      </c>
      <c r="C96" s="137"/>
      <c r="D96" s="24" t="e">
        <f t="shared" si="11"/>
        <v>#N/A</v>
      </c>
      <c r="E96" s="231" t="e">
        <f t="shared" si="12"/>
        <v>#N/A</v>
      </c>
      <c r="F96" s="225" t="e">
        <f t="shared" si="13"/>
        <v>#N/A</v>
      </c>
      <c r="G96" s="227"/>
      <c r="H96" s="227"/>
      <c r="I96" s="167" t="e">
        <f t="shared" si="17"/>
        <v>#N/A</v>
      </c>
      <c r="J96" s="162">
        <f t="shared" si="20"/>
        <v>0</v>
      </c>
      <c r="K96" s="162">
        <f t="shared" si="21"/>
        <v>0</v>
      </c>
      <c r="L96" s="162">
        <f t="shared" si="22"/>
        <v>0</v>
      </c>
      <c r="M96" s="162">
        <f t="shared" si="19"/>
        <v>0</v>
      </c>
      <c r="N96" s="180"/>
      <c r="P96" s="165"/>
      <c r="R96" s="354">
        <f>L96-'PAY EST 3'!L95</f>
        <v>0</v>
      </c>
    </row>
    <row r="97" spans="1:19">
      <c r="A97" s="256"/>
      <c r="B97" s="23" t="e">
        <f t="shared" si="10"/>
        <v>#N/A</v>
      </c>
      <c r="C97" s="137"/>
      <c r="D97" s="24" t="e">
        <f t="shared" si="11"/>
        <v>#N/A</v>
      </c>
      <c r="E97" s="231" t="e">
        <f t="shared" si="12"/>
        <v>#N/A</v>
      </c>
      <c r="F97" s="225" t="e">
        <f t="shared" si="13"/>
        <v>#N/A</v>
      </c>
      <c r="G97" s="227"/>
      <c r="H97" s="227"/>
      <c r="I97" s="167" t="e">
        <f t="shared" si="17"/>
        <v>#N/A</v>
      </c>
      <c r="J97" s="162">
        <f t="shared" si="20"/>
        <v>0</v>
      </c>
      <c r="K97" s="162">
        <f t="shared" si="21"/>
        <v>0</v>
      </c>
      <c r="L97" s="162">
        <f t="shared" si="22"/>
        <v>0</v>
      </c>
      <c r="M97" s="162">
        <f t="shared" si="19"/>
        <v>0</v>
      </c>
      <c r="N97" s="180"/>
      <c r="P97" s="165"/>
      <c r="R97" s="354">
        <f>L97-'PAY EST 3'!L96</f>
        <v>0</v>
      </c>
    </row>
    <row r="98" spans="1:19">
      <c r="A98" s="256"/>
      <c r="B98" s="23" t="e">
        <f t="shared" si="10"/>
        <v>#N/A</v>
      </c>
      <c r="C98" s="137"/>
      <c r="D98" s="24" t="e">
        <f t="shared" si="11"/>
        <v>#N/A</v>
      </c>
      <c r="E98" s="231" t="e">
        <f t="shared" si="12"/>
        <v>#N/A</v>
      </c>
      <c r="F98" s="225" t="e">
        <f t="shared" si="13"/>
        <v>#N/A</v>
      </c>
      <c r="G98" s="227"/>
      <c r="H98" s="227"/>
      <c r="I98" s="167" t="e">
        <f t="shared" si="17"/>
        <v>#N/A</v>
      </c>
      <c r="J98" s="162">
        <f t="shared" si="20"/>
        <v>0</v>
      </c>
      <c r="K98" s="162">
        <f t="shared" si="21"/>
        <v>0</v>
      </c>
      <c r="L98" s="162">
        <f t="shared" si="22"/>
        <v>0</v>
      </c>
      <c r="M98" s="162">
        <f t="shared" si="19"/>
        <v>0</v>
      </c>
      <c r="N98" s="180"/>
      <c r="P98" s="165"/>
      <c r="R98" s="354">
        <f>L98-'PAY EST 3'!L97</f>
        <v>0</v>
      </c>
    </row>
    <row r="99" spans="1:19">
      <c r="A99" s="256"/>
      <c r="B99" s="23" t="e">
        <f t="shared" si="10"/>
        <v>#N/A</v>
      </c>
      <c r="C99" s="137"/>
      <c r="D99" s="24" t="e">
        <f t="shared" si="11"/>
        <v>#N/A</v>
      </c>
      <c r="E99" s="231" t="e">
        <f t="shared" si="12"/>
        <v>#N/A</v>
      </c>
      <c r="F99" s="225" t="e">
        <f t="shared" si="13"/>
        <v>#N/A</v>
      </c>
      <c r="G99" s="227"/>
      <c r="H99" s="227"/>
      <c r="I99" s="167" t="e">
        <f t="shared" si="17"/>
        <v>#N/A</v>
      </c>
      <c r="J99" s="162">
        <f t="shared" si="20"/>
        <v>0</v>
      </c>
      <c r="K99" s="162">
        <f t="shared" si="21"/>
        <v>0</v>
      </c>
      <c r="L99" s="162">
        <f t="shared" si="22"/>
        <v>0</v>
      </c>
      <c r="M99" s="162">
        <f t="shared" si="19"/>
        <v>0</v>
      </c>
      <c r="N99" s="180"/>
      <c r="P99" s="165"/>
      <c r="R99" s="354">
        <f>L99-'PAY EST 3'!L98</f>
        <v>0</v>
      </c>
    </row>
    <row r="100" spans="1:19">
      <c r="A100" s="256"/>
      <c r="B100" s="23" t="e">
        <f t="shared" si="10"/>
        <v>#N/A</v>
      </c>
      <c r="C100" s="137"/>
      <c r="D100" s="24" t="e">
        <f t="shared" si="11"/>
        <v>#N/A</v>
      </c>
      <c r="E100" s="231" t="e">
        <f t="shared" si="12"/>
        <v>#N/A</v>
      </c>
      <c r="F100" s="225" t="e">
        <f t="shared" si="13"/>
        <v>#N/A</v>
      </c>
      <c r="G100" s="227"/>
      <c r="H100" s="227"/>
      <c r="I100" s="167" t="e">
        <f t="shared" si="17"/>
        <v>#N/A</v>
      </c>
      <c r="J100" s="162">
        <f t="shared" si="20"/>
        <v>0</v>
      </c>
      <c r="K100" s="162">
        <f t="shared" si="21"/>
        <v>0</v>
      </c>
      <c r="L100" s="162">
        <f t="shared" si="22"/>
        <v>0</v>
      </c>
      <c r="M100" s="162">
        <f t="shared" si="19"/>
        <v>0</v>
      </c>
      <c r="N100" s="180"/>
      <c r="P100" s="165"/>
      <c r="R100" s="354">
        <f>L100-'PAY EST 3'!L99</f>
        <v>0</v>
      </c>
    </row>
    <row r="101" spans="1:19">
      <c r="A101" s="256"/>
      <c r="B101" s="23" t="e">
        <f t="shared" si="10"/>
        <v>#N/A</v>
      </c>
      <c r="C101" s="137"/>
      <c r="D101" s="24" t="e">
        <f t="shared" si="11"/>
        <v>#N/A</v>
      </c>
      <c r="E101" s="231" t="e">
        <f t="shared" si="12"/>
        <v>#N/A</v>
      </c>
      <c r="F101" s="225" t="e">
        <f t="shared" si="13"/>
        <v>#N/A</v>
      </c>
      <c r="G101" s="227"/>
      <c r="H101" s="227"/>
      <c r="I101" s="167" t="e">
        <f t="shared" si="17"/>
        <v>#N/A</v>
      </c>
      <c r="J101" s="162">
        <f t="shared" si="20"/>
        <v>0</v>
      </c>
      <c r="K101" s="162">
        <f t="shared" si="21"/>
        <v>0</v>
      </c>
      <c r="L101" s="162">
        <f t="shared" si="22"/>
        <v>0</v>
      </c>
      <c r="M101" s="162">
        <f t="shared" si="19"/>
        <v>0</v>
      </c>
      <c r="N101" s="180"/>
      <c r="P101" s="165"/>
      <c r="R101" s="354">
        <f>L101-'PAY EST 3'!L100</f>
        <v>0</v>
      </c>
    </row>
    <row r="102" spans="1:19">
      <c r="A102" s="256"/>
      <c r="B102" s="23" t="e">
        <f t="shared" si="10"/>
        <v>#N/A</v>
      </c>
      <c r="C102" s="137"/>
      <c r="D102" s="24" t="e">
        <f t="shared" si="11"/>
        <v>#N/A</v>
      </c>
      <c r="E102" s="231" t="e">
        <f t="shared" si="12"/>
        <v>#N/A</v>
      </c>
      <c r="F102" s="225" t="e">
        <f t="shared" si="13"/>
        <v>#N/A</v>
      </c>
      <c r="G102" s="227"/>
      <c r="H102" s="227"/>
      <c r="I102" s="167" t="e">
        <f t="shared" si="17"/>
        <v>#N/A</v>
      </c>
      <c r="J102" s="162">
        <f t="shared" si="20"/>
        <v>0</v>
      </c>
      <c r="K102" s="162">
        <f t="shared" si="21"/>
        <v>0</v>
      </c>
      <c r="L102" s="162">
        <f t="shared" si="22"/>
        <v>0</v>
      </c>
      <c r="M102" s="162">
        <f t="shared" si="19"/>
        <v>0</v>
      </c>
      <c r="N102" s="180"/>
      <c r="P102" s="165"/>
      <c r="R102" s="354">
        <f>L102-'PAY EST 3'!L101</f>
        <v>0</v>
      </c>
    </row>
    <row r="103" spans="1:19">
      <c r="A103" s="256"/>
      <c r="B103" s="23" t="e">
        <f t="shared" si="10"/>
        <v>#N/A</v>
      </c>
      <c r="C103" s="137"/>
      <c r="D103" s="24" t="e">
        <f t="shared" si="11"/>
        <v>#N/A</v>
      </c>
      <c r="E103" s="231" t="e">
        <f t="shared" si="12"/>
        <v>#N/A</v>
      </c>
      <c r="F103" s="225" t="e">
        <f t="shared" si="13"/>
        <v>#N/A</v>
      </c>
      <c r="G103" s="227"/>
      <c r="H103" s="227"/>
      <c r="I103" s="167" t="e">
        <f t="shared" si="17"/>
        <v>#N/A</v>
      </c>
      <c r="J103" s="162">
        <f t="shared" si="20"/>
        <v>0</v>
      </c>
      <c r="K103" s="162">
        <f t="shared" si="21"/>
        <v>0</v>
      </c>
      <c r="L103" s="162">
        <f t="shared" si="22"/>
        <v>0</v>
      </c>
      <c r="M103" s="162">
        <f t="shared" si="19"/>
        <v>0</v>
      </c>
      <c r="N103" s="180"/>
      <c r="P103" s="165"/>
      <c r="R103" s="354">
        <f>L103-'PAY EST 3'!L102</f>
        <v>0</v>
      </c>
    </row>
    <row r="104" spans="1:19">
      <c r="A104" s="256"/>
      <c r="B104" s="23" t="e">
        <f t="shared" si="10"/>
        <v>#N/A</v>
      </c>
      <c r="C104" s="137"/>
      <c r="D104" s="24" t="e">
        <f t="shared" si="11"/>
        <v>#N/A</v>
      </c>
      <c r="E104" s="231" t="e">
        <f t="shared" si="12"/>
        <v>#N/A</v>
      </c>
      <c r="F104" s="225" t="e">
        <f t="shared" si="13"/>
        <v>#N/A</v>
      </c>
      <c r="G104" s="227"/>
      <c r="H104" s="227"/>
      <c r="I104" s="167" t="e">
        <f t="shared" si="17"/>
        <v>#N/A</v>
      </c>
      <c r="J104" s="162">
        <f t="shared" si="20"/>
        <v>0</v>
      </c>
      <c r="K104" s="162">
        <f t="shared" si="21"/>
        <v>0</v>
      </c>
      <c r="L104" s="162">
        <f t="shared" si="22"/>
        <v>0</v>
      </c>
      <c r="M104" s="162">
        <f t="shared" si="19"/>
        <v>0</v>
      </c>
      <c r="N104" s="180"/>
      <c r="P104" s="165"/>
      <c r="R104" s="354">
        <f>L104-'PAY EST 3'!L103</f>
        <v>0</v>
      </c>
    </row>
    <row r="105" spans="1:19">
      <c r="A105" s="256"/>
      <c r="B105" s="23" t="e">
        <f t="shared" si="10"/>
        <v>#N/A</v>
      </c>
      <c r="C105" s="137"/>
      <c r="D105" s="24" t="e">
        <f t="shared" si="11"/>
        <v>#N/A</v>
      </c>
      <c r="E105" s="231" t="e">
        <f t="shared" si="12"/>
        <v>#N/A</v>
      </c>
      <c r="F105" s="225" t="e">
        <f t="shared" si="13"/>
        <v>#N/A</v>
      </c>
      <c r="G105" s="227"/>
      <c r="H105" s="227"/>
      <c r="I105" s="167" t="e">
        <f t="shared" si="17"/>
        <v>#N/A</v>
      </c>
      <c r="J105" s="162">
        <f t="shared" si="20"/>
        <v>0</v>
      </c>
      <c r="K105" s="162">
        <f t="shared" si="21"/>
        <v>0</v>
      </c>
      <c r="L105" s="162">
        <f t="shared" si="22"/>
        <v>0</v>
      </c>
      <c r="M105" s="162">
        <f t="shared" si="19"/>
        <v>0</v>
      </c>
      <c r="N105" s="180"/>
      <c r="P105" s="165"/>
      <c r="R105" s="354">
        <f>L105-'PAY EST 3'!L104</f>
        <v>0</v>
      </c>
    </row>
    <row r="106" spans="1:19">
      <c r="A106" s="256"/>
      <c r="B106" s="23" t="e">
        <f t="shared" si="10"/>
        <v>#N/A</v>
      </c>
      <c r="C106" s="137"/>
      <c r="D106" s="24" t="e">
        <f t="shared" si="11"/>
        <v>#N/A</v>
      </c>
      <c r="E106" s="231" t="e">
        <f t="shared" si="12"/>
        <v>#N/A</v>
      </c>
      <c r="F106" s="225" t="e">
        <f t="shared" si="13"/>
        <v>#N/A</v>
      </c>
      <c r="G106" s="227"/>
      <c r="H106" s="227"/>
      <c r="I106" s="167" t="e">
        <f t="shared" si="17"/>
        <v>#N/A</v>
      </c>
      <c r="J106" s="162">
        <f t="shared" si="20"/>
        <v>0</v>
      </c>
      <c r="K106" s="162">
        <f t="shared" si="21"/>
        <v>0</v>
      </c>
      <c r="L106" s="162">
        <f t="shared" si="22"/>
        <v>0</v>
      </c>
      <c r="M106" s="162">
        <f t="shared" si="19"/>
        <v>0</v>
      </c>
      <c r="N106" s="180"/>
      <c r="P106" s="165"/>
      <c r="R106" s="354">
        <f>L106-'PAY EST 3'!L105</f>
        <v>0</v>
      </c>
    </row>
    <row r="107" spans="1:19">
      <c r="A107" s="256"/>
      <c r="B107" s="23" t="e">
        <f t="shared" si="10"/>
        <v>#N/A</v>
      </c>
      <c r="C107" s="137"/>
      <c r="D107" s="24" t="e">
        <f t="shared" si="11"/>
        <v>#N/A</v>
      </c>
      <c r="E107" s="231" t="e">
        <f t="shared" si="12"/>
        <v>#N/A</v>
      </c>
      <c r="F107" s="225" t="e">
        <f t="shared" si="13"/>
        <v>#N/A</v>
      </c>
      <c r="G107" s="227"/>
      <c r="H107" s="227"/>
      <c r="I107" s="167" t="e">
        <f t="shared" si="17"/>
        <v>#N/A</v>
      </c>
      <c r="J107" s="162">
        <f t="shared" si="20"/>
        <v>0</v>
      </c>
      <c r="K107" s="162">
        <f t="shared" si="21"/>
        <v>0</v>
      </c>
      <c r="L107" s="162">
        <f t="shared" si="22"/>
        <v>0</v>
      </c>
      <c r="M107" s="162">
        <f t="shared" si="19"/>
        <v>0</v>
      </c>
      <c r="N107" s="180"/>
      <c r="P107" s="165"/>
      <c r="R107" s="354">
        <f>L107-'PAY EST 3'!L106</f>
        <v>0</v>
      </c>
    </row>
    <row r="108" spans="1:19">
      <c r="A108" s="256"/>
      <c r="B108" s="23" t="e">
        <f t="shared" si="10"/>
        <v>#N/A</v>
      </c>
      <c r="C108" s="137"/>
      <c r="D108" s="24" t="e">
        <f t="shared" si="11"/>
        <v>#N/A</v>
      </c>
      <c r="E108" s="231" t="e">
        <f t="shared" si="12"/>
        <v>#N/A</v>
      </c>
      <c r="F108" s="225" t="e">
        <f t="shared" si="13"/>
        <v>#N/A</v>
      </c>
      <c r="G108" s="227"/>
      <c r="H108" s="227"/>
      <c r="I108" s="167" t="e">
        <f t="shared" si="17"/>
        <v>#N/A</v>
      </c>
      <c r="J108" s="162">
        <f t="shared" si="20"/>
        <v>0</v>
      </c>
      <c r="K108" s="162">
        <f t="shared" si="21"/>
        <v>0</v>
      </c>
      <c r="L108" s="162">
        <f t="shared" si="22"/>
        <v>0</v>
      </c>
      <c r="M108" s="162">
        <f t="shared" si="19"/>
        <v>0</v>
      </c>
      <c r="N108" s="180"/>
      <c r="P108" s="165"/>
      <c r="R108" s="354">
        <f>L108-'PAY EST 3'!L107</f>
        <v>0</v>
      </c>
    </row>
    <row r="109" spans="1:19" ht="13.5" thickBot="1">
      <c r="A109" s="257"/>
      <c r="B109" s="181"/>
      <c r="C109" s="181"/>
      <c r="D109" s="182"/>
      <c r="E109" s="183"/>
      <c r="F109" s="228"/>
      <c r="G109" s="229"/>
      <c r="H109" s="229"/>
      <c r="I109" s="230"/>
      <c r="J109" s="183"/>
      <c r="K109" s="183"/>
      <c r="L109" s="183"/>
      <c r="M109" s="184"/>
      <c r="N109" s="180"/>
      <c r="P109" s="165"/>
    </row>
    <row r="110" spans="1:19" ht="13.5" thickTop="1">
      <c r="A110" s="258"/>
      <c r="B110" s="137"/>
      <c r="C110" s="137"/>
      <c r="D110" s="139"/>
      <c r="E110" s="142"/>
      <c r="F110" s="142"/>
      <c r="I110" s="185" t="s">
        <v>115</v>
      </c>
      <c r="J110" s="186">
        <f>SUM(J8:J109)</f>
        <v>1833401.355</v>
      </c>
      <c r="K110" s="187"/>
      <c r="L110" s="188">
        <f>SUM(L8:L109)</f>
        <v>1528161.7474999998</v>
      </c>
      <c r="M110" s="189">
        <f>SUM(M8:M109)</f>
        <v>305239.60749999998</v>
      </c>
      <c r="N110" s="137"/>
      <c r="P110" s="165"/>
      <c r="R110" s="140" t="s">
        <v>296</v>
      </c>
      <c r="S110" s="354">
        <f>SUM(R8:R86)*0.05</f>
        <v>49967.271375000004</v>
      </c>
    </row>
    <row r="111" spans="1:19">
      <c r="A111" s="258" t="s">
        <v>56</v>
      </c>
      <c r="B111" s="137"/>
      <c r="C111" s="137"/>
      <c r="D111" s="139"/>
      <c r="E111" s="137" t="s">
        <v>57</v>
      </c>
      <c r="F111" s="137"/>
      <c r="G111" s="199" t="s">
        <v>119</v>
      </c>
      <c r="H111" s="142"/>
      <c r="K111" s="141"/>
      <c r="L111" s="141"/>
      <c r="M111" s="141" t="s">
        <v>63</v>
      </c>
      <c r="N111" s="165"/>
      <c r="O111" s="145">
        <f>L110</f>
        <v>1528161.7474999998</v>
      </c>
      <c r="P111" s="165"/>
    </row>
    <row r="112" spans="1:19">
      <c r="A112" s="258"/>
      <c r="B112" s="137"/>
      <c r="E112" t="str">
        <f>'PROJECT INFO'!F16</f>
        <v>384-8101-439-7517</v>
      </c>
      <c r="F112"/>
      <c r="G112" s="217">
        <f>'PROJECT INFO'!C16</f>
        <v>0</v>
      </c>
      <c r="H112" s="347">
        <v>305797.3</v>
      </c>
      <c r="I112" t="str">
        <f>'PROJECT INFO'!J16</f>
        <v>(NTE $1,004,711.76)</v>
      </c>
      <c r="L112" s="141"/>
      <c r="M112" s="141" t="s">
        <v>58</v>
      </c>
      <c r="N112" s="165"/>
      <c r="O112" s="145">
        <v>0</v>
      </c>
      <c r="P112" s="165"/>
    </row>
    <row r="113" spans="1:18">
      <c r="A113" s="259" t="s">
        <v>85</v>
      </c>
      <c r="B113" s="190"/>
      <c r="C113" s="190"/>
      <c r="D113" s="207"/>
      <c r="E113" s="344" t="str">
        <f>'PROJECT INFO'!F17</f>
        <v>607-7704-39-7517</v>
      </c>
      <c r="F113" s="344"/>
      <c r="G113" s="217">
        <f>'PROJECT INFO'!C17</f>
        <v>0</v>
      </c>
      <c r="H113" s="347">
        <v>84408.2</v>
      </c>
      <c r="I113" t="str">
        <f>'PROJECT INFO'!J17</f>
        <v>(NTE $300,000.00)</v>
      </c>
      <c r="L113" s="141"/>
      <c r="M113" s="141" t="str">
        <f>IF(Q113="Y","LESS: 3% RETAINED (MAX $30,000):","LESS: 5% RETAINED:")</f>
        <v>LESS: 5% RETAINED:</v>
      </c>
      <c r="N113" s="165"/>
      <c r="O113" s="145">
        <f>IF(Q113="Y",IF(0.03*O111&lt;30000,ROUND(0.03*O111,2),30000),ROUND(0.05*O111,2))</f>
        <v>76408.09</v>
      </c>
      <c r="P113" s="165"/>
      <c r="Q113" s="191" t="s">
        <v>106</v>
      </c>
      <c r="R113" s="192" t="s">
        <v>107</v>
      </c>
    </row>
    <row r="114" spans="1:18">
      <c r="A114" s="258"/>
      <c r="B114" s="137"/>
      <c r="E114" s="345" t="str">
        <f>'PROJECT INFO'!F18</f>
        <v>510-8461489-7514</v>
      </c>
      <c r="F114" s="345"/>
      <c r="G114" s="217">
        <f>'PROJECT INFO'!C18</f>
        <v>0</v>
      </c>
      <c r="H114" s="347">
        <v>0</v>
      </c>
      <c r="I114" t="str">
        <f>'PROJECT INFO'!J18</f>
        <v>(NTE $360,255.50)</v>
      </c>
      <c r="L114" s="141"/>
      <c r="M114" s="141" t="s">
        <v>59</v>
      </c>
      <c r="N114" s="165"/>
      <c r="O114" s="145">
        <f>O111+O112-O113</f>
        <v>1451753.6574999997</v>
      </c>
      <c r="P114" s="165"/>
    </row>
    <row r="115" spans="1:18">
      <c r="A115" s="259" t="s">
        <v>60</v>
      </c>
      <c r="B115" s="190"/>
      <c r="C115" s="190"/>
      <c r="D115" s="207"/>
      <c r="E115" s="346" t="str">
        <f>'PROJECT INFO'!F19</f>
        <v>520-8542-489-7514</v>
      </c>
      <c r="F115" s="346"/>
      <c r="G115" s="217">
        <f>'PROJECT INFO'!C19</f>
        <v>0</v>
      </c>
      <c r="H115" s="347">
        <v>3300</v>
      </c>
      <c r="I115" t="str">
        <f>'PROJECT INFO'!J19</f>
        <v>(NTE $163,034.10)</v>
      </c>
      <c r="L115" s="141"/>
      <c r="M115" s="141" t="s">
        <v>61</v>
      </c>
      <c r="N115" s="165"/>
      <c r="O115" s="145">
        <f>O33</f>
        <v>1058248.16025</v>
      </c>
      <c r="P115" s="165"/>
    </row>
    <row r="116" spans="1:18">
      <c r="A116" s="258"/>
      <c r="B116" s="137"/>
      <c r="E116">
        <f>'PROJECT INFO'!F20</f>
        <v>0</v>
      </c>
      <c r="F116"/>
      <c r="G116" s="217">
        <f>'PROJECT INFO'!C20</f>
        <v>0</v>
      </c>
      <c r="H116" s="208"/>
      <c r="I116" t="str">
        <f>'PROJECT INFO'!J20</f>
        <v>(NTE $00.00)</v>
      </c>
      <c r="L116" s="193"/>
      <c r="M116" s="193" t="s">
        <v>62</v>
      </c>
      <c r="N116" s="194"/>
      <c r="O116" s="195">
        <f>O114-O115</f>
        <v>393505.49724999978</v>
      </c>
      <c r="P116" s="165"/>
    </row>
    <row r="117" spans="1:18">
      <c r="A117" s="258"/>
      <c r="B117" s="137"/>
      <c r="C117" s="137"/>
      <c r="D117" s="139"/>
      <c r="E117">
        <f>'PROJECT INFO'!F21</f>
        <v>0</v>
      </c>
      <c r="F117"/>
      <c r="G117" s="217">
        <f>'PROJECT INFO'!C21</f>
        <v>0</v>
      </c>
      <c r="H117" s="208"/>
      <c r="I117" t="str">
        <f>'PROJECT INFO'!J21</f>
        <v>(NTE $00.00)</v>
      </c>
      <c r="K117" s="137"/>
      <c r="L117" s="137"/>
      <c r="M117" s="137"/>
      <c r="N117" s="137"/>
      <c r="O117" s="137"/>
      <c r="P117" s="165"/>
    </row>
    <row r="118" spans="1:18">
      <c r="E118">
        <f>'PROJECT INFO'!F22</f>
        <v>0</v>
      </c>
      <c r="F118"/>
      <c r="G118" s="217">
        <f>'PROJECT INFO'!C22</f>
        <v>0</v>
      </c>
      <c r="H118" s="208"/>
      <c r="I118" t="str">
        <f>'PROJECT INFO'!J22</f>
        <v>(NTE $00.00)</v>
      </c>
    </row>
    <row r="119" spans="1:18">
      <c r="E119">
        <f>'PROJECT INFO'!F23</f>
        <v>0</v>
      </c>
      <c r="F119"/>
      <c r="G119" s="217">
        <f>'PROJECT INFO'!C23</f>
        <v>0</v>
      </c>
      <c r="H119" s="208"/>
      <c r="I119" t="str">
        <f>'PROJECT INFO'!J23</f>
        <v>(NTE $00.00)</v>
      </c>
    </row>
    <row r="120" spans="1:18">
      <c r="D120" s="139"/>
      <c r="E120">
        <f>'PROJECT INFO'!F24</f>
        <v>0</v>
      </c>
      <c r="F120"/>
      <c r="G120" s="217">
        <f>'PROJECT INFO'!C24</f>
        <v>0</v>
      </c>
      <c r="H120" s="208"/>
      <c r="I120" t="str">
        <f>'PROJECT INFO'!J24</f>
        <v>(NTE $00.00)</v>
      </c>
    </row>
    <row r="121" spans="1:18">
      <c r="D121" s="139"/>
      <c r="E121">
        <f>'PROJECT INFO'!F25</f>
        <v>0</v>
      </c>
      <c r="F121"/>
      <c r="G121" s="217">
        <f>'PROJECT INFO'!C25</f>
        <v>0</v>
      </c>
      <c r="H121" s="208"/>
      <c r="I121" t="str">
        <f>'PROJECT INFO'!J25</f>
        <v>(NTE $00.00)</v>
      </c>
    </row>
    <row r="122" spans="1:18">
      <c r="A122" s="261" t="s">
        <v>122</v>
      </c>
      <c r="D122" s="139"/>
      <c r="E122" s="142"/>
      <c r="K122" s="200"/>
      <c r="L122" s="200"/>
      <c r="M122" s="201" t="s">
        <v>108</v>
      </c>
      <c r="N122" s="200"/>
      <c r="O122" s="202">
        <f>O5-O33</f>
        <v>775153.19975000015</v>
      </c>
      <c r="Q122" s="140" t="s">
        <v>121</v>
      </c>
    </row>
    <row r="123" spans="1:18">
      <c r="D123" s="139"/>
      <c r="E123" s="142"/>
      <c r="K123" s="200"/>
      <c r="L123" s="200"/>
      <c r="M123" s="203" t="s">
        <v>109</v>
      </c>
      <c r="N123" s="204"/>
      <c r="O123" s="205">
        <f>O122-O116</f>
        <v>381647.70250000036</v>
      </c>
    </row>
    <row r="124" spans="1:18">
      <c r="E124" s="142"/>
    </row>
    <row r="125" spans="1:18">
      <c r="E125" s="142"/>
    </row>
    <row r="126" spans="1:18">
      <c r="E126" s="142"/>
    </row>
    <row r="127" spans="1:18">
      <c r="E127" s="142"/>
    </row>
    <row r="128" spans="1:18">
      <c r="E128" s="142"/>
      <c r="G128" s="140" t="s">
        <v>294</v>
      </c>
      <c r="H128" s="353">
        <f>SUM(H112:H115)</f>
        <v>393505.5</v>
      </c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E148" s="142"/>
    </row>
    <row r="149" spans="3:5">
      <c r="C149" s="137"/>
      <c r="E149" s="142"/>
    </row>
    <row r="150" spans="3:5">
      <c r="E150" s="142"/>
    </row>
    <row r="151" spans="3:5">
      <c r="E151" s="142"/>
    </row>
  </sheetData>
  <conditionalFormatting sqref="B8:I108">
    <cfRule type="expression" dxfId="15" priority="2">
      <formula>ISERROR(B8)</formula>
    </cfRule>
  </conditionalFormatting>
  <conditionalFormatting sqref="E112:F121 H112:H121">
    <cfRule type="expression" dxfId="14" priority="4">
      <formula>ISTEXT($E112)</formula>
    </cfRule>
  </conditionalFormatting>
  <conditionalFormatting sqref="E112:I121">
    <cfRule type="expression" dxfId="13" priority="1">
      <formula>ISNUMBER($E112)</formula>
    </cfRule>
  </conditionalFormatting>
  <conditionalFormatting sqref="K8:K108">
    <cfRule type="cellIs" dxfId="12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3D917-540C-42B3-BA2D-3BF6F47E80DD}">
  <sheetPr>
    <pageSetUpPr autoPageBreaks="0" fitToPage="1"/>
  </sheetPr>
  <dimension ref="A1:S151"/>
  <sheetViews>
    <sheetView showOutlineSymbols="0" zoomScale="80" zoomScaleNormal="80" zoomScaleSheetLayoutView="100" workbookViewId="0">
      <selection activeCell="H113" sqref="H113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1" width="13.7109375" style="140" customWidth="1"/>
    <col min="12" max="12" width="14.14062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7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45608</v>
      </c>
      <c r="I5" s="147"/>
      <c r="J5" s="148"/>
      <c r="L5" s="141"/>
      <c r="M5" s="141" t="s">
        <v>47</v>
      </c>
      <c r="N5" s="139"/>
      <c r="O5" s="145">
        <f>SUM(O4+O19)</f>
        <v>1833401.36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3" si="0">VLOOKUP($A8,BIDTAB,2,FALSE)</f>
        <v>#N/A</v>
      </c>
      <c r="C8" s="137"/>
      <c r="D8" s="24" t="e">
        <f t="shared" ref="D8:D73" si="1">VLOOKUP($A8,BIDTAB,3,FALSE)</f>
        <v>#N/A</v>
      </c>
      <c r="E8" s="231" t="e">
        <f t="shared" ref="E8:E73" si="2">VLOOKUP($A8,BIDTAB,7,FALSE)</f>
        <v>#N/A</v>
      </c>
      <c r="F8" s="223" t="e">
        <f t="shared" ref="F8:F73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3" si="4">IF(ISERROR(F8*E8),0,F8*E8)</f>
        <v>0</v>
      </c>
      <c r="K8" s="162">
        <f t="shared" ref="K8:K73" si="5">IF(ISERROR(G8*E8),0,G8*E8)</f>
        <v>0</v>
      </c>
      <c r="L8" s="162">
        <f t="shared" ref="L8:L73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>
        <f>L8-'PAY EST 3'!L8</f>
        <v>0</v>
      </c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>
        <v>1030.5999999999999</v>
      </c>
      <c r="I9" s="167">
        <f t="shared" ref="I9:I74" si="7">IF(ISBLANK(G9),F9,F9+G9)-H9</f>
        <v>-39.299999999999955</v>
      </c>
      <c r="J9" s="162">
        <f t="shared" si="4"/>
        <v>27756.399999999998</v>
      </c>
      <c r="K9" s="162">
        <f t="shared" si="5"/>
        <v>0</v>
      </c>
      <c r="L9" s="162">
        <f t="shared" si="6"/>
        <v>28856.799999999996</v>
      </c>
      <c r="M9" s="162">
        <f t="shared" ref="M9:M74" si="8">SUM(J9:K9)-L9</f>
        <v>-1100.3999999999978</v>
      </c>
      <c r="N9" s="168"/>
      <c r="O9" s="169"/>
      <c r="P9" s="165"/>
      <c r="R9" s="162">
        <f>L9-'PAY EST 3'!L9</f>
        <v>28856.799999999996</v>
      </c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>
        <v>3077.5</v>
      </c>
      <c r="I10" s="167">
        <f t="shared" si="7"/>
        <v>-24</v>
      </c>
      <c r="J10" s="162">
        <f t="shared" si="4"/>
        <v>61070</v>
      </c>
      <c r="K10" s="162">
        <f t="shared" si="5"/>
        <v>0</v>
      </c>
      <c r="L10" s="162">
        <f t="shared" si="6"/>
        <v>61550</v>
      </c>
      <c r="M10" s="162">
        <f t="shared" si="8"/>
        <v>-480</v>
      </c>
      <c r="N10" s="170">
        <v>1</v>
      </c>
      <c r="O10" s="352">
        <v>2100</v>
      </c>
      <c r="P10" s="165"/>
      <c r="R10" s="162">
        <f>L10-'PAY EST 3'!L10</f>
        <v>61550</v>
      </c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>
        <v>7126</v>
      </c>
      <c r="I11" s="167">
        <f t="shared" si="7"/>
        <v>4864</v>
      </c>
      <c r="J11" s="162">
        <f t="shared" si="4"/>
        <v>38967.5</v>
      </c>
      <c r="K11" s="162">
        <f t="shared" si="5"/>
        <v>0</v>
      </c>
      <c r="L11" s="162">
        <f t="shared" si="6"/>
        <v>23159.5</v>
      </c>
      <c r="M11" s="162">
        <f t="shared" si="8"/>
        <v>15808</v>
      </c>
      <c r="N11" s="171">
        <v>2</v>
      </c>
      <c r="O11" s="238">
        <v>3300</v>
      </c>
      <c r="P11" s="165"/>
      <c r="R11" s="162">
        <f>L11-'PAY EST 3'!L11</f>
        <v>23159.5</v>
      </c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>
        <v>11950.78</v>
      </c>
      <c r="I12" s="167">
        <f t="shared" si="7"/>
        <v>39.219999999999345</v>
      </c>
      <c r="J12" s="162">
        <f t="shared" si="4"/>
        <v>107910</v>
      </c>
      <c r="K12" s="162">
        <f t="shared" si="5"/>
        <v>0</v>
      </c>
      <c r="L12" s="162">
        <f t="shared" si="6"/>
        <v>107557.02</v>
      </c>
      <c r="M12" s="162">
        <f t="shared" si="8"/>
        <v>352.97999999999593</v>
      </c>
      <c r="N12" s="171">
        <v>3</v>
      </c>
      <c r="O12" s="238"/>
      <c r="P12" s="165"/>
      <c r="R12" s="162">
        <f>L12-'PAY EST 3'!L12</f>
        <v>107557.02</v>
      </c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  <c r="R13" s="162">
        <f>L13-'PAY EST 3'!L13</f>
        <v>0</v>
      </c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567</v>
      </c>
      <c r="I14" s="305">
        <f t="shared" si="7"/>
        <v>11</v>
      </c>
      <c r="J14" s="306">
        <f t="shared" si="4"/>
        <v>42483</v>
      </c>
      <c r="K14" s="306">
        <f t="shared" si="5"/>
        <v>0</v>
      </c>
      <c r="L14" s="306">
        <f t="shared" si="6"/>
        <v>41674.5</v>
      </c>
      <c r="M14" s="306">
        <f t="shared" si="8"/>
        <v>808.5</v>
      </c>
      <c r="N14" s="171">
        <v>5</v>
      </c>
      <c r="O14" s="238"/>
      <c r="P14" s="165"/>
      <c r="R14" s="306">
        <f>L14-'PAY EST 3'!L14</f>
        <v>22344</v>
      </c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17</v>
      </c>
      <c r="I15" s="305">
        <f t="shared" si="7"/>
        <v>-5</v>
      </c>
      <c r="J15" s="306">
        <f t="shared" si="4"/>
        <v>25200</v>
      </c>
      <c r="K15" s="306">
        <f t="shared" si="5"/>
        <v>0</v>
      </c>
      <c r="L15" s="306">
        <f t="shared" si="6"/>
        <v>35700</v>
      </c>
      <c r="M15" s="306">
        <f t="shared" si="8"/>
        <v>-10500</v>
      </c>
      <c r="N15" s="171">
        <v>6</v>
      </c>
      <c r="O15" s="238"/>
      <c r="P15" s="165"/>
      <c r="R15" s="306">
        <f>L15-'PAY EST 3'!L15</f>
        <v>14700</v>
      </c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567</v>
      </c>
      <c r="I16" s="305">
        <f t="shared" si="7"/>
        <v>11</v>
      </c>
      <c r="J16" s="306">
        <f t="shared" si="4"/>
        <v>12138</v>
      </c>
      <c r="K16" s="306">
        <f t="shared" si="5"/>
        <v>0</v>
      </c>
      <c r="L16" s="306">
        <f t="shared" si="6"/>
        <v>11907</v>
      </c>
      <c r="M16" s="306">
        <f t="shared" si="8"/>
        <v>231</v>
      </c>
      <c r="N16" s="171">
        <v>7</v>
      </c>
      <c r="O16" s="238"/>
      <c r="P16" s="165"/>
      <c r="R16" s="306">
        <f>L16-'PAY EST 3'!L16</f>
        <v>6384</v>
      </c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546</v>
      </c>
      <c r="I17" s="167">
        <f t="shared" si="7"/>
        <v>-20</v>
      </c>
      <c r="J17" s="162">
        <f t="shared" si="4"/>
        <v>38661</v>
      </c>
      <c r="K17" s="162">
        <f t="shared" si="5"/>
        <v>0</v>
      </c>
      <c r="L17" s="162">
        <f t="shared" si="6"/>
        <v>40131</v>
      </c>
      <c r="M17" s="162">
        <f t="shared" si="8"/>
        <v>-1470</v>
      </c>
      <c r="N17" s="171">
        <v>8</v>
      </c>
      <c r="O17" s="238"/>
      <c r="P17" s="165"/>
      <c r="R17" s="162">
        <f>L17-'PAY EST 3'!L17</f>
        <v>9849</v>
      </c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546</v>
      </c>
      <c r="I18" s="167">
        <f t="shared" si="7"/>
        <v>-20</v>
      </c>
      <c r="J18" s="162">
        <f t="shared" si="4"/>
        <v>11046</v>
      </c>
      <c r="K18" s="162">
        <f t="shared" si="5"/>
        <v>0</v>
      </c>
      <c r="L18" s="162">
        <f t="shared" si="6"/>
        <v>11466</v>
      </c>
      <c r="M18" s="162">
        <f t="shared" si="8"/>
        <v>-420</v>
      </c>
      <c r="N18" s="172"/>
      <c r="O18" s="239" t="s">
        <v>10</v>
      </c>
      <c r="P18" s="165"/>
      <c r="R18" s="162">
        <f>L18-'PAY EST 3'!L18</f>
        <v>2814</v>
      </c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197</v>
      </c>
      <c r="I19" s="167">
        <f t="shared" si="7"/>
        <v>3</v>
      </c>
      <c r="J19" s="162">
        <f t="shared" si="4"/>
        <v>5100</v>
      </c>
      <c r="K19" s="162">
        <f t="shared" si="5"/>
        <v>0</v>
      </c>
      <c r="L19" s="162">
        <f t="shared" si="6"/>
        <v>5023.5</v>
      </c>
      <c r="M19" s="162">
        <f t="shared" si="8"/>
        <v>76.5</v>
      </c>
      <c r="N19" s="173"/>
      <c r="O19" s="240">
        <f>SUM(O10:O17)</f>
        <v>5400</v>
      </c>
      <c r="P19" s="165"/>
      <c r="R19" s="162">
        <f>L19-'PAY EST 3'!L19</f>
        <v>5023.5</v>
      </c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1</v>
      </c>
      <c r="I20" s="167">
        <f t="shared" si="7"/>
        <v>0</v>
      </c>
      <c r="J20" s="162">
        <f t="shared" si="4"/>
        <v>850</v>
      </c>
      <c r="K20" s="162">
        <f t="shared" si="5"/>
        <v>0</v>
      </c>
      <c r="L20" s="162">
        <f t="shared" si="6"/>
        <v>850</v>
      </c>
      <c r="M20" s="162">
        <f t="shared" si="8"/>
        <v>0</v>
      </c>
      <c r="N20" s="174"/>
      <c r="O20" s="241"/>
      <c r="P20" s="165"/>
      <c r="R20" s="162">
        <f>L20-'PAY EST 3'!L20</f>
        <v>850</v>
      </c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13</v>
      </c>
      <c r="I21" s="167">
        <f t="shared" si="7"/>
        <v>-12</v>
      </c>
      <c r="J21" s="162">
        <f t="shared" si="4"/>
        <v>600</v>
      </c>
      <c r="K21" s="162">
        <f t="shared" si="5"/>
        <v>0</v>
      </c>
      <c r="L21" s="162">
        <f t="shared" si="6"/>
        <v>7800</v>
      </c>
      <c r="M21" s="162">
        <f t="shared" si="8"/>
        <v>-7200</v>
      </c>
      <c r="N21" s="175" t="s">
        <v>54</v>
      </c>
      <c r="O21" s="242"/>
      <c r="P21" s="165"/>
      <c r="R21" s="162">
        <f>L21-'PAY EST 3'!L21</f>
        <v>3600</v>
      </c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>
        <f>L22-'PAY EST 3'!L22</f>
        <v>0</v>
      </c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>
        <f>L23-'PAY EST 3'!L23</f>
        <v>0</v>
      </c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  <c r="R24" s="296">
        <f>L24-'PAY EST 3'!L24</f>
        <v>0</v>
      </c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  <c r="R25" s="296">
        <f>L25-'PAY EST 3'!L25</f>
        <v>0</v>
      </c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41.5</v>
      </c>
      <c r="I26" s="295">
        <f t="shared" si="7"/>
        <v>-17.5</v>
      </c>
      <c r="J26" s="296">
        <f t="shared" si="4"/>
        <v>2520</v>
      </c>
      <c r="K26" s="296">
        <f t="shared" si="5"/>
        <v>0</v>
      </c>
      <c r="L26" s="296">
        <f t="shared" si="6"/>
        <v>4357.5</v>
      </c>
      <c r="M26" s="296">
        <f t="shared" si="8"/>
        <v>-1837.5</v>
      </c>
      <c r="N26" s="171">
        <v>2</v>
      </c>
      <c r="O26" s="239">
        <v>267401.59999999998</v>
      </c>
      <c r="P26" s="165"/>
      <c r="R26" s="296">
        <f>L26-'PAY EST 3'!L26</f>
        <v>1680</v>
      </c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>
        <v>137425.00000000006</v>
      </c>
      <c r="P27" s="165"/>
      <c r="R27" s="296">
        <f>L27-'PAY EST 3'!L27</f>
        <v>0</v>
      </c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>
        <v>344248.87024999998</v>
      </c>
      <c r="P28" s="165"/>
      <c r="R28" s="296">
        <f>L28-'PAY EST 3'!L28</f>
        <v>0</v>
      </c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>
        <v>213618.78999999992</v>
      </c>
      <c r="P29" s="165"/>
      <c r="R29" s="296">
        <f>L29-'PAY EST 3'!L29</f>
        <v>0</v>
      </c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>
        <v>393505.49724999978</v>
      </c>
      <c r="P30" s="165"/>
      <c r="R30" s="296">
        <f>L30-'PAY EST 3'!L30</f>
        <v>0</v>
      </c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4</v>
      </c>
      <c r="I31" s="295">
        <f t="shared" si="7"/>
        <v>1</v>
      </c>
      <c r="J31" s="296">
        <f t="shared" si="4"/>
        <v>2625</v>
      </c>
      <c r="K31" s="296">
        <f t="shared" si="5"/>
        <v>0</v>
      </c>
      <c r="L31" s="296">
        <f t="shared" si="6"/>
        <v>2100</v>
      </c>
      <c r="M31" s="296">
        <f t="shared" si="8"/>
        <v>525</v>
      </c>
      <c r="N31" s="177">
        <v>7</v>
      </c>
      <c r="O31" s="244"/>
      <c r="P31" s="165"/>
      <c r="R31" s="296">
        <f>L31-'PAY EST 3'!L31</f>
        <v>1050</v>
      </c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  <c r="R32" s="296">
        <f>L32-'PAY EST 3'!L32</f>
        <v>0</v>
      </c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6</v>
      </c>
      <c r="I33" s="295">
        <f t="shared" si="7"/>
        <v>-5</v>
      </c>
      <c r="J33" s="296">
        <f t="shared" si="4"/>
        <v>420</v>
      </c>
      <c r="K33" s="296">
        <f t="shared" si="5"/>
        <v>0</v>
      </c>
      <c r="L33" s="296">
        <f t="shared" si="6"/>
        <v>2520</v>
      </c>
      <c r="M33" s="296">
        <f t="shared" si="8"/>
        <v>-2100</v>
      </c>
      <c r="N33" s="179"/>
      <c r="O33" s="246">
        <f>SUM(O25:O31)</f>
        <v>1451753.6574999997</v>
      </c>
      <c r="P33" s="165"/>
      <c r="R33" s="296">
        <f>L33-'PAY EST 3'!L33</f>
        <v>0</v>
      </c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2</v>
      </c>
      <c r="I34" s="295">
        <f t="shared" si="7"/>
        <v>-1</v>
      </c>
      <c r="J34" s="296">
        <f t="shared" si="4"/>
        <v>420</v>
      </c>
      <c r="K34" s="296">
        <f t="shared" si="5"/>
        <v>0</v>
      </c>
      <c r="L34" s="296">
        <f t="shared" si="6"/>
        <v>840</v>
      </c>
      <c r="M34" s="296">
        <f t="shared" si="8"/>
        <v>-420</v>
      </c>
      <c r="N34" s="180"/>
      <c r="P34" s="165"/>
      <c r="R34" s="296">
        <f>L34-'PAY EST 3'!L34</f>
        <v>0</v>
      </c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>
        <f>L35-'PAY EST 3'!L35</f>
        <v>0</v>
      </c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>
        <f>L36-'PAY EST 3'!L36</f>
        <v>0</v>
      </c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>
        <v>17</v>
      </c>
      <c r="I37" s="295">
        <f t="shared" si="7"/>
        <v>-2</v>
      </c>
      <c r="J37" s="296">
        <f t="shared" si="4"/>
        <v>63000</v>
      </c>
      <c r="K37" s="296">
        <f t="shared" si="5"/>
        <v>0</v>
      </c>
      <c r="L37" s="296">
        <f t="shared" si="6"/>
        <v>71400</v>
      </c>
      <c r="M37" s="296">
        <f t="shared" si="8"/>
        <v>-8400</v>
      </c>
      <c r="N37" s="180"/>
      <c r="P37" s="165"/>
      <c r="R37" s="296">
        <f>L37-'PAY EST 3'!L37</f>
        <v>0</v>
      </c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>
        <v>17</v>
      </c>
      <c r="I38" s="295">
        <f t="shared" si="7"/>
        <v>-2</v>
      </c>
      <c r="J38" s="296">
        <f t="shared" si="4"/>
        <v>47250</v>
      </c>
      <c r="K38" s="296">
        <f t="shared" si="5"/>
        <v>0</v>
      </c>
      <c r="L38" s="296">
        <f t="shared" si="6"/>
        <v>53550</v>
      </c>
      <c r="M38" s="296">
        <f t="shared" si="8"/>
        <v>-6300</v>
      </c>
      <c r="N38" s="180"/>
      <c r="P38" s="165"/>
      <c r="R38" s="296">
        <f>L38-'PAY EST 3'!L38</f>
        <v>0</v>
      </c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  <c r="R39" s="296">
        <f>L39-'PAY EST 3'!L39</f>
        <v>0</v>
      </c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2</v>
      </c>
      <c r="I40" s="295">
        <f t="shared" si="7"/>
        <v>0</v>
      </c>
      <c r="J40" s="296">
        <f t="shared" si="4"/>
        <v>3150</v>
      </c>
      <c r="K40" s="296">
        <f t="shared" si="5"/>
        <v>0</v>
      </c>
      <c r="L40" s="296">
        <f t="shared" si="6"/>
        <v>3150</v>
      </c>
      <c r="M40" s="296">
        <f t="shared" si="8"/>
        <v>0</v>
      </c>
      <c r="N40" s="180"/>
      <c r="P40" s="165"/>
      <c r="R40" s="296">
        <f>L40-'PAY EST 3'!L40</f>
        <v>1575</v>
      </c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6</v>
      </c>
      <c r="I41" s="295">
        <f t="shared" si="7"/>
        <v>-1</v>
      </c>
      <c r="J41" s="296">
        <f t="shared" si="4"/>
        <v>42000</v>
      </c>
      <c r="K41" s="296">
        <f t="shared" si="5"/>
        <v>0</v>
      </c>
      <c r="L41" s="296">
        <f t="shared" si="6"/>
        <v>50400</v>
      </c>
      <c r="M41" s="296">
        <f t="shared" si="8"/>
        <v>-8400</v>
      </c>
      <c r="N41" s="180"/>
      <c r="P41" s="165"/>
      <c r="R41" s="296">
        <f>L41-'PAY EST 3'!L41</f>
        <v>16800</v>
      </c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2</v>
      </c>
      <c r="I42" s="295">
        <f t="shared" si="7"/>
        <v>8</v>
      </c>
      <c r="J42" s="296">
        <f t="shared" si="4"/>
        <v>6500</v>
      </c>
      <c r="K42" s="296">
        <f t="shared" si="5"/>
        <v>0</v>
      </c>
      <c r="L42" s="296">
        <f t="shared" si="6"/>
        <v>1300</v>
      </c>
      <c r="M42" s="296">
        <f t="shared" si="8"/>
        <v>5200</v>
      </c>
      <c r="N42" s="180"/>
      <c r="P42" s="165"/>
      <c r="R42" s="296">
        <f>L42-'PAY EST 3'!L42</f>
        <v>1300</v>
      </c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3</v>
      </c>
      <c r="I43" s="295">
        <f t="shared" si="7"/>
        <v>1</v>
      </c>
      <c r="J43" s="296">
        <f t="shared" si="4"/>
        <v>4200</v>
      </c>
      <c r="K43" s="296">
        <f t="shared" si="5"/>
        <v>0</v>
      </c>
      <c r="L43" s="296">
        <f t="shared" si="6"/>
        <v>3150</v>
      </c>
      <c r="M43" s="296">
        <f t="shared" si="8"/>
        <v>1050</v>
      </c>
      <c r="N43" s="180"/>
      <c r="P43" s="165"/>
      <c r="R43" s="296">
        <f>L43-'PAY EST 3'!L43</f>
        <v>1050</v>
      </c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5</v>
      </c>
      <c r="I44" s="295">
        <f t="shared" si="7"/>
        <v>-3</v>
      </c>
      <c r="J44" s="296">
        <f t="shared" si="4"/>
        <v>1050</v>
      </c>
      <c r="K44" s="296">
        <f t="shared" si="5"/>
        <v>0</v>
      </c>
      <c r="L44" s="296">
        <f t="shared" si="6"/>
        <v>2625</v>
      </c>
      <c r="M44" s="296">
        <f t="shared" si="8"/>
        <v>-1575</v>
      </c>
      <c r="N44" s="180"/>
      <c r="P44" s="165"/>
      <c r="R44" s="296">
        <f>L44-'PAY EST 3'!L44</f>
        <v>525</v>
      </c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4</v>
      </c>
      <c r="I45" s="295">
        <f t="shared" si="7"/>
        <v>8</v>
      </c>
      <c r="J45" s="296">
        <f t="shared" si="4"/>
        <v>6300</v>
      </c>
      <c r="K45" s="296">
        <f t="shared" si="5"/>
        <v>0</v>
      </c>
      <c r="L45" s="296">
        <f t="shared" si="6"/>
        <v>2100</v>
      </c>
      <c r="M45" s="296">
        <f t="shared" si="8"/>
        <v>4200</v>
      </c>
      <c r="N45" s="180"/>
      <c r="P45" s="165"/>
      <c r="R45" s="296">
        <f>L45-'PAY EST 3'!L45</f>
        <v>0</v>
      </c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>
        <f>L46-'PAY EST 3'!L46</f>
        <v>0</v>
      </c>
    </row>
    <row r="47" spans="1:18">
      <c r="A47" s="335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8</v>
      </c>
      <c r="I47" s="305">
        <f t="shared" si="7"/>
        <v>0</v>
      </c>
      <c r="J47" s="306">
        <f t="shared" si="4"/>
        <v>74741.600000000006</v>
      </c>
      <c r="K47" s="306">
        <f t="shared" si="5"/>
        <v>0</v>
      </c>
      <c r="L47" s="306">
        <f t="shared" si="6"/>
        <v>74741.600000000006</v>
      </c>
      <c r="M47" s="306">
        <f t="shared" si="8"/>
        <v>0</v>
      </c>
      <c r="N47" s="180"/>
      <c r="P47" s="165"/>
      <c r="R47" s="306">
        <f>L47-'PAY EST 3'!L47</f>
        <v>37370.800000000003</v>
      </c>
    </row>
    <row r="48" spans="1:18">
      <c r="A48" s="256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1</v>
      </c>
      <c r="I48" s="167">
        <f t="shared" si="7"/>
        <v>0</v>
      </c>
      <c r="J48" s="162">
        <f t="shared" si="4"/>
        <v>9532.36</v>
      </c>
      <c r="K48" s="162">
        <f t="shared" si="5"/>
        <v>0</v>
      </c>
      <c r="L48" s="162">
        <f t="shared" si="6"/>
        <v>9532.36</v>
      </c>
      <c r="M48" s="162">
        <f t="shared" si="8"/>
        <v>0</v>
      </c>
      <c r="N48" s="180"/>
      <c r="P48" s="165"/>
      <c r="R48" s="162">
        <f>L48-'PAY EST 3'!L48</f>
        <v>9532.36</v>
      </c>
    </row>
    <row r="49" spans="1:18">
      <c r="A49" s="256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7</v>
      </c>
      <c r="I49" s="167">
        <f t="shared" si="7"/>
        <v>0</v>
      </c>
      <c r="J49" s="162">
        <f t="shared" si="4"/>
        <v>24746.12</v>
      </c>
      <c r="K49" s="162">
        <f t="shared" si="5"/>
        <v>0</v>
      </c>
      <c r="L49" s="162">
        <f t="shared" si="6"/>
        <v>24746.12</v>
      </c>
      <c r="M49" s="162">
        <f t="shared" si="8"/>
        <v>0</v>
      </c>
      <c r="N49" s="180"/>
      <c r="P49" s="165"/>
      <c r="R49" s="162">
        <f>L49-'PAY EST 3'!L49</f>
        <v>17675.8</v>
      </c>
    </row>
    <row r="50" spans="1:18">
      <c r="A50" s="356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>
        <v>4</v>
      </c>
      <c r="I50" s="167">
        <f t="shared" si="7"/>
        <v>-2</v>
      </c>
      <c r="J50" s="162">
        <f t="shared" si="4"/>
        <v>14549.7</v>
      </c>
      <c r="K50" s="162">
        <f t="shared" si="5"/>
        <v>0</v>
      </c>
      <c r="L50" s="162">
        <f t="shared" si="6"/>
        <v>29099.4</v>
      </c>
      <c r="M50" s="162">
        <f t="shared" si="8"/>
        <v>-14549.7</v>
      </c>
      <c r="N50" s="180"/>
      <c r="P50" s="165"/>
      <c r="R50" s="162">
        <f>L50-'PAY EST 3'!L50</f>
        <v>29099.4</v>
      </c>
    </row>
    <row r="51" spans="1:18">
      <c r="A51" s="335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0</v>
      </c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  <c r="R51" s="306">
        <f>L51-'PAY EST 3'!L51</f>
        <v>0</v>
      </c>
    </row>
    <row r="52" spans="1:18">
      <c r="A52" s="335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>
        <f>L52-'PAY EST 3'!L52</f>
        <v>5250</v>
      </c>
    </row>
    <row r="53" spans="1:18">
      <c r="A53" s="357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3</v>
      </c>
      <c r="I53" s="333">
        <f t="shared" si="7"/>
        <v>0</v>
      </c>
      <c r="J53" s="334">
        <f t="shared" si="4"/>
        <v>3709.5</v>
      </c>
      <c r="K53" s="334">
        <f t="shared" si="5"/>
        <v>0</v>
      </c>
      <c r="L53" s="334">
        <f t="shared" si="6"/>
        <v>3709.5</v>
      </c>
      <c r="M53" s="334">
        <f t="shared" si="8"/>
        <v>0</v>
      </c>
      <c r="N53" s="180"/>
      <c r="P53" s="165"/>
      <c r="R53" s="334">
        <f>L53-'PAY EST 3'!L53</f>
        <v>3709.5</v>
      </c>
    </row>
    <row r="54" spans="1:18">
      <c r="A54" s="335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9</v>
      </c>
      <c r="I54" s="305">
        <f t="shared" si="7"/>
        <v>0</v>
      </c>
      <c r="J54" s="306">
        <f t="shared" si="4"/>
        <v>9450</v>
      </c>
      <c r="K54" s="306">
        <f t="shared" si="5"/>
        <v>0</v>
      </c>
      <c r="L54" s="306">
        <f t="shared" si="6"/>
        <v>9450</v>
      </c>
      <c r="M54" s="306">
        <f t="shared" si="8"/>
        <v>0</v>
      </c>
      <c r="N54" s="180"/>
      <c r="P54" s="165"/>
      <c r="R54" s="306">
        <f>L54-'PAY EST 3'!L54</f>
        <v>5250</v>
      </c>
    </row>
    <row r="55" spans="1:18">
      <c r="A55" s="256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1</v>
      </c>
      <c r="I55" s="167">
        <f t="shared" si="7"/>
        <v>0</v>
      </c>
      <c r="J55" s="162">
        <f t="shared" si="4"/>
        <v>1050</v>
      </c>
      <c r="K55" s="162">
        <f t="shared" si="5"/>
        <v>0</v>
      </c>
      <c r="L55" s="162">
        <f t="shared" si="6"/>
        <v>1050</v>
      </c>
      <c r="M55" s="162">
        <f t="shared" si="8"/>
        <v>0</v>
      </c>
      <c r="N55" s="180"/>
      <c r="P55" s="165"/>
      <c r="R55" s="162">
        <f>L55-'PAY EST 3'!L55</f>
        <v>1050</v>
      </c>
    </row>
    <row r="56" spans="1:18">
      <c r="A56" s="256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9</v>
      </c>
      <c r="I56" s="167">
        <f t="shared" si="7"/>
        <v>0</v>
      </c>
      <c r="J56" s="162">
        <f t="shared" si="4"/>
        <v>9450</v>
      </c>
      <c r="K56" s="162">
        <f t="shared" si="5"/>
        <v>0</v>
      </c>
      <c r="L56" s="162">
        <f t="shared" si="6"/>
        <v>9450</v>
      </c>
      <c r="M56" s="162">
        <f t="shared" si="8"/>
        <v>0</v>
      </c>
      <c r="N56" s="180"/>
      <c r="P56" s="165"/>
      <c r="R56" s="162">
        <f>L56-'PAY EST 3'!L56</f>
        <v>7350</v>
      </c>
    </row>
    <row r="57" spans="1:18">
      <c r="A57" s="335" t="s">
        <v>297</v>
      </c>
      <c r="B57" s="299" t="str">
        <f t="shared" si="0"/>
        <v xml:space="preserve">Sanitary Sewer MH - External Drop (E 16th and Maxwell) </v>
      </c>
      <c r="C57" s="300"/>
      <c r="D57" s="301" t="str">
        <f t="shared" si="1"/>
        <v>LS</v>
      </c>
      <c r="E57" s="302">
        <f t="shared" si="2"/>
        <v>3300</v>
      </c>
      <c r="F57" s="303">
        <f t="shared" si="3"/>
        <v>1</v>
      </c>
      <c r="G57" s="304"/>
      <c r="H57" s="304">
        <v>1</v>
      </c>
      <c r="I57" s="305">
        <f t="shared" si="7"/>
        <v>0</v>
      </c>
      <c r="J57" s="306">
        <f t="shared" si="4"/>
        <v>3300</v>
      </c>
      <c r="K57" s="306">
        <f t="shared" si="5"/>
        <v>0</v>
      </c>
      <c r="L57" s="306">
        <f t="shared" si="6"/>
        <v>3300</v>
      </c>
      <c r="M57" s="306">
        <f t="shared" ref="M57" si="9">SUM(J57:K57)-L57</f>
        <v>0</v>
      </c>
      <c r="N57" s="180"/>
      <c r="P57" s="165"/>
      <c r="R57" s="162">
        <f>L57-'PAY EST 3'!L56</f>
        <v>1200</v>
      </c>
    </row>
    <row r="58" spans="1:18">
      <c r="A58" s="256"/>
      <c r="B58" s="23" t="e">
        <f t="shared" si="0"/>
        <v>#N/A</v>
      </c>
      <c r="C58" s="137"/>
      <c r="D58" s="24" t="e">
        <f t="shared" si="1"/>
        <v>#N/A</v>
      </c>
      <c r="E58" s="231" t="e">
        <f t="shared" si="2"/>
        <v>#N/A</v>
      </c>
      <c r="F58" s="225" t="e">
        <f t="shared" si="3"/>
        <v>#N/A</v>
      </c>
      <c r="G58" s="227"/>
      <c r="H58" s="227"/>
      <c r="I58" s="167" t="e">
        <f t="shared" si="7"/>
        <v>#N/A</v>
      </c>
      <c r="J58" s="162">
        <f t="shared" si="4"/>
        <v>0</v>
      </c>
      <c r="K58" s="162">
        <f t="shared" si="5"/>
        <v>0</v>
      </c>
      <c r="L58" s="162">
        <f t="shared" si="6"/>
        <v>0</v>
      </c>
      <c r="M58" s="162">
        <f t="shared" si="8"/>
        <v>0</v>
      </c>
      <c r="N58" s="180"/>
      <c r="P58" s="165"/>
      <c r="R58" s="162">
        <f>L58-'PAY EST 3'!L57</f>
        <v>0</v>
      </c>
    </row>
    <row r="59" spans="1:18">
      <c r="A59" s="358" t="s">
        <v>258</v>
      </c>
      <c r="B59" s="325" t="str">
        <f t="shared" si="0"/>
        <v>Curb &amp; Gutter, 30" width, 12" thickness</v>
      </c>
      <c r="C59" s="337"/>
      <c r="D59" s="338" t="str">
        <f t="shared" si="1"/>
        <v>lf</v>
      </c>
      <c r="E59" s="339">
        <f t="shared" si="2"/>
        <v>35</v>
      </c>
      <c r="F59" s="340">
        <f t="shared" si="3"/>
        <v>5300</v>
      </c>
      <c r="G59" s="341"/>
      <c r="H59" s="341">
        <v>5453</v>
      </c>
      <c r="I59" s="342">
        <f t="shared" si="7"/>
        <v>-153</v>
      </c>
      <c r="J59" s="343">
        <f t="shared" si="4"/>
        <v>185500</v>
      </c>
      <c r="K59" s="343">
        <f t="shared" si="5"/>
        <v>0</v>
      </c>
      <c r="L59" s="343">
        <f t="shared" si="6"/>
        <v>190855</v>
      </c>
      <c r="M59" s="343">
        <f t="shared" si="8"/>
        <v>-5355</v>
      </c>
      <c r="N59" s="180"/>
      <c r="P59" s="165"/>
      <c r="R59" s="343">
        <f>L59-'PAY EST 3'!L58</f>
        <v>190855</v>
      </c>
    </row>
    <row r="60" spans="1:18">
      <c r="A60" s="256" t="s">
        <v>259</v>
      </c>
      <c r="B60" s="23" t="str">
        <f t="shared" si="0"/>
        <v>Pavement, HMA, Base, 5" depth</v>
      </c>
      <c r="C60" s="137"/>
      <c r="D60" s="24" t="str">
        <f t="shared" si="1"/>
        <v>ton</v>
      </c>
      <c r="E60" s="231">
        <f t="shared" si="2"/>
        <v>103</v>
      </c>
      <c r="F60" s="225">
        <f t="shared" si="3"/>
        <v>2844.8</v>
      </c>
      <c r="G60" s="227"/>
      <c r="H60" s="227">
        <v>2753</v>
      </c>
      <c r="I60" s="167">
        <f t="shared" si="7"/>
        <v>91.800000000000182</v>
      </c>
      <c r="J60" s="162">
        <f t="shared" si="4"/>
        <v>293014.40000000002</v>
      </c>
      <c r="K60" s="162">
        <f t="shared" si="5"/>
        <v>0</v>
      </c>
      <c r="L60" s="162">
        <f t="shared" si="6"/>
        <v>283559</v>
      </c>
      <c r="M60" s="162">
        <f t="shared" si="8"/>
        <v>9455.4000000000233</v>
      </c>
      <c r="N60" s="180"/>
      <c r="P60" s="165"/>
      <c r="R60" s="162">
        <f>L60-'PAY EST 3'!L59</f>
        <v>283559</v>
      </c>
    </row>
    <row r="61" spans="1:18">
      <c r="A61" s="256" t="s">
        <v>260</v>
      </c>
      <c r="B61" s="23" t="str">
        <f t="shared" si="0"/>
        <v>Pavement, HMA, Surface, 2" depth</v>
      </c>
      <c r="C61" s="137"/>
      <c r="D61" s="24" t="str">
        <f t="shared" si="1"/>
        <v>ton</v>
      </c>
      <c r="E61" s="231">
        <f t="shared" si="2"/>
        <v>108</v>
      </c>
      <c r="F61" s="225">
        <f t="shared" si="3"/>
        <v>1144.4000000000001</v>
      </c>
      <c r="G61" s="227"/>
      <c r="H61" s="227">
        <v>1014.06</v>
      </c>
      <c r="I61" s="167">
        <f t="shared" si="7"/>
        <v>130.34000000000015</v>
      </c>
      <c r="J61" s="162">
        <f t="shared" si="4"/>
        <v>123595.20000000001</v>
      </c>
      <c r="K61" s="162">
        <f t="shared" si="5"/>
        <v>0</v>
      </c>
      <c r="L61" s="162">
        <f t="shared" si="6"/>
        <v>109518.48</v>
      </c>
      <c r="M61" s="162">
        <f t="shared" si="8"/>
        <v>14076.720000000016</v>
      </c>
      <c r="N61" s="180"/>
      <c r="P61" s="165"/>
      <c r="R61" s="162">
        <f>L61-'PAY EST 3'!L60</f>
        <v>109518.48</v>
      </c>
    </row>
    <row r="62" spans="1:18">
      <c r="A62" s="256" t="s">
        <v>261</v>
      </c>
      <c r="B62" s="23" t="str">
        <f t="shared" si="0"/>
        <v>Removal of Sidewalk/Driveway</v>
      </c>
      <c r="C62" s="137"/>
      <c r="D62" s="24" t="str">
        <f t="shared" si="1"/>
        <v>sy</v>
      </c>
      <c r="E62" s="231">
        <f t="shared" si="2"/>
        <v>10.75</v>
      </c>
      <c r="F62" s="225">
        <f t="shared" si="3"/>
        <v>1191.7</v>
      </c>
      <c r="G62" s="227"/>
      <c r="H62" s="227">
        <v>1190.6099999999999</v>
      </c>
      <c r="I62" s="167">
        <f t="shared" si="7"/>
        <v>1.0900000000001455</v>
      </c>
      <c r="J62" s="162">
        <f t="shared" si="4"/>
        <v>12810.775</v>
      </c>
      <c r="K62" s="162">
        <f t="shared" si="5"/>
        <v>0</v>
      </c>
      <c r="L62" s="162">
        <f t="shared" si="6"/>
        <v>12799.057499999999</v>
      </c>
      <c r="M62" s="162">
        <f t="shared" si="8"/>
        <v>11.717500000000655</v>
      </c>
      <c r="N62" s="180"/>
      <c r="P62" s="165"/>
      <c r="R62" s="162">
        <f>L62-'PAY EST 3'!L61</f>
        <v>11012.407499999999</v>
      </c>
    </row>
    <row r="63" spans="1:18">
      <c r="A63" s="358" t="s">
        <v>262</v>
      </c>
      <c r="B63" s="325" t="str">
        <f t="shared" si="0"/>
        <v>Sidewalk/Drive, PCC, 6"/4" depth</v>
      </c>
      <c r="C63" s="337"/>
      <c r="D63" s="338" t="str">
        <f t="shared" si="1"/>
        <v>sy</v>
      </c>
      <c r="E63" s="339">
        <f t="shared" si="2"/>
        <v>94</v>
      </c>
      <c r="F63" s="340">
        <f t="shared" si="3"/>
        <v>1293</v>
      </c>
      <c r="G63" s="341"/>
      <c r="H63" s="341">
        <v>1324.2</v>
      </c>
      <c r="I63" s="342">
        <f t="shared" si="7"/>
        <v>-31.200000000000045</v>
      </c>
      <c r="J63" s="343">
        <f t="shared" si="4"/>
        <v>121542</v>
      </c>
      <c r="K63" s="343">
        <f t="shared" si="5"/>
        <v>0</v>
      </c>
      <c r="L63" s="343">
        <f t="shared" si="6"/>
        <v>124474.8</v>
      </c>
      <c r="M63" s="343">
        <f t="shared" si="8"/>
        <v>-2932.8000000000029</v>
      </c>
      <c r="N63" s="180"/>
      <c r="P63" s="165"/>
      <c r="R63" s="343">
        <f>L63-'PAY EST 3'!L62</f>
        <v>124474.8</v>
      </c>
    </row>
    <row r="64" spans="1:18">
      <c r="A64" s="256" t="s">
        <v>263</v>
      </c>
      <c r="B64" s="23" t="str">
        <f t="shared" si="0"/>
        <v>Detectable Warning</v>
      </c>
      <c r="C64" s="137"/>
      <c r="D64" s="24" t="str">
        <f t="shared" si="1"/>
        <v>sf</v>
      </c>
      <c r="E64" s="231">
        <f t="shared" si="2"/>
        <v>45</v>
      </c>
      <c r="F64" s="225">
        <f t="shared" si="3"/>
        <v>263</v>
      </c>
      <c r="G64" s="227"/>
      <c r="H64" s="227">
        <v>288.2</v>
      </c>
      <c r="I64" s="167">
        <f t="shared" si="7"/>
        <v>-25.199999999999989</v>
      </c>
      <c r="J64" s="162">
        <f t="shared" si="4"/>
        <v>11835</v>
      </c>
      <c r="K64" s="162">
        <f t="shared" si="5"/>
        <v>0</v>
      </c>
      <c r="L64" s="162">
        <f t="shared" si="6"/>
        <v>12969</v>
      </c>
      <c r="M64" s="162">
        <f t="shared" si="8"/>
        <v>-1134</v>
      </c>
      <c r="N64" s="180"/>
      <c r="P64" s="165"/>
      <c r="R64" s="162">
        <f>L64-'PAY EST 3'!L63</f>
        <v>12969</v>
      </c>
    </row>
    <row r="65" spans="1:18">
      <c r="A65" s="256" t="s">
        <v>264</v>
      </c>
      <c r="B65" s="23" t="str">
        <f t="shared" si="0"/>
        <v>Full Depth Patch, PCC</v>
      </c>
      <c r="C65" s="137"/>
      <c r="D65" s="24" t="str">
        <f t="shared" si="1"/>
        <v>sy</v>
      </c>
      <c r="E65" s="231">
        <f t="shared" si="2"/>
        <v>112</v>
      </c>
      <c r="F65" s="225">
        <f t="shared" si="3"/>
        <v>44.2</v>
      </c>
      <c r="G65" s="227"/>
      <c r="H65" s="227">
        <v>44.7</v>
      </c>
      <c r="I65" s="167">
        <f t="shared" si="7"/>
        <v>-0.5</v>
      </c>
      <c r="J65" s="162">
        <f t="shared" si="4"/>
        <v>4950.4000000000005</v>
      </c>
      <c r="K65" s="162">
        <f t="shared" si="5"/>
        <v>0</v>
      </c>
      <c r="L65" s="162">
        <f t="shared" si="6"/>
        <v>5006.4000000000005</v>
      </c>
      <c r="M65" s="162">
        <f t="shared" si="8"/>
        <v>-56</v>
      </c>
      <c r="N65" s="180"/>
      <c r="P65" s="165"/>
      <c r="R65" s="162">
        <f>L65-'PAY EST 3'!L64</f>
        <v>5006.4000000000005</v>
      </c>
    </row>
    <row r="66" spans="1:18">
      <c r="A66" s="256" t="s">
        <v>265</v>
      </c>
      <c r="B66" s="23" t="str">
        <f t="shared" si="0"/>
        <v>Milling</v>
      </c>
      <c r="C66" s="137"/>
      <c r="D66" s="24" t="str">
        <f t="shared" si="1"/>
        <v>sy</v>
      </c>
      <c r="E66" s="231">
        <f t="shared" si="2"/>
        <v>78</v>
      </c>
      <c r="F66" s="225">
        <f t="shared" si="3"/>
        <v>52.7</v>
      </c>
      <c r="G66" s="227"/>
      <c r="H66" s="227">
        <v>0</v>
      </c>
      <c r="I66" s="167">
        <f t="shared" si="7"/>
        <v>52.7</v>
      </c>
      <c r="J66" s="162">
        <f t="shared" si="4"/>
        <v>4110.6000000000004</v>
      </c>
      <c r="K66" s="162">
        <f t="shared" si="5"/>
        <v>0</v>
      </c>
      <c r="L66" s="162">
        <f t="shared" si="6"/>
        <v>0</v>
      </c>
      <c r="M66" s="162">
        <f t="shared" si="8"/>
        <v>4110.6000000000004</v>
      </c>
      <c r="N66" s="180"/>
      <c r="P66" s="165"/>
      <c r="R66" s="162">
        <f>L66-'PAY EST 3'!L65</f>
        <v>0</v>
      </c>
    </row>
    <row r="67" spans="1:18">
      <c r="A67" s="256" t="s">
        <v>266</v>
      </c>
      <c r="B67" s="23" t="str">
        <f t="shared" si="0"/>
        <v>Pavement Removal</v>
      </c>
      <c r="C67" s="137"/>
      <c r="D67" s="24" t="str">
        <f t="shared" si="1"/>
        <v>sy</v>
      </c>
      <c r="E67" s="231">
        <f t="shared" si="2"/>
        <v>5.5</v>
      </c>
      <c r="F67" s="225">
        <f t="shared" si="3"/>
        <v>9400.1</v>
      </c>
      <c r="G67" s="227"/>
      <c r="H67" s="227">
        <v>9327</v>
      </c>
      <c r="I67" s="167">
        <f t="shared" si="7"/>
        <v>73.100000000000364</v>
      </c>
      <c r="J67" s="162">
        <f t="shared" si="4"/>
        <v>51700.55</v>
      </c>
      <c r="K67" s="162">
        <f t="shared" si="5"/>
        <v>0</v>
      </c>
      <c r="L67" s="162">
        <f t="shared" si="6"/>
        <v>51298.5</v>
      </c>
      <c r="M67" s="162">
        <f t="shared" si="8"/>
        <v>402.05000000000291</v>
      </c>
      <c r="N67" s="180"/>
      <c r="P67" s="165"/>
      <c r="R67" s="162">
        <f>L67-'PAY EST 3'!L66</f>
        <v>43543.5</v>
      </c>
    </row>
    <row r="68" spans="1:18">
      <c r="A68" s="256" t="s">
        <v>288</v>
      </c>
      <c r="B68" s="23" t="str">
        <f t="shared" si="0"/>
        <v>Curb &amp; Gutter Removal</v>
      </c>
      <c r="C68" s="137"/>
      <c r="D68" s="24" t="str">
        <f t="shared" si="1"/>
        <v>lf</v>
      </c>
      <c r="E68" s="231">
        <f t="shared" si="2"/>
        <v>6.25</v>
      </c>
      <c r="F68" s="225">
        <f t="shared" si="3"/>
        <v>5281</v>
      </c>
      <c r="G68" s="227"/>
      <c r="H68" s="227">
        <v>5282</v>
      </c>
      <c r="I68" s="167">
        <f t="shared" si="7"/>
        <v>-1</v>
      </c>
      <c r="J68" s="162">
        <f t="shared" si="4"/>
        <v>33006.25</v>
      </c>
      <c r="K68" s="162">
        <f t="shared" si="5"/>
        <v>0</v>
      </c>
      <c r="L68" s="162">
        <f t="shared" si="6"/>
        <v>33012.5</v>
      </c>
      <c r="M68" s="162">
        <f t="shared" si="8"/>
        <v>-6.25</v>
      </c>
      <c r="N68" s="180"/>
      <c r="P68" s="165"/>
      <c r="R68" s="162">
        <f>L68-'PAY EST 3'!L67</f>
        <v>30456.25</v>
      </c>
    </row>
    <row r="69" spans="1:18">
      <c r="A69" s="256" t="s">
        <v>267</v>
      </c>
      <c r="B69" s="23" t="str">
        <f t="shared" si="0"/>
        <v>Engineering Fabric/Geogrid Fabric</v>
      </c>
      <c r="C69" s="137"/>
      <c r="D69" s="24" t="str">
        <f t="shared" si="1"/>
        <v>sy</v>
      </c>
      <c r="E69" s="231">
        <f t="shared" si="2"/>
        <v>3.5</v>
      </c>
      <c r="F69" s="225">
        <f t="shared" si="3"/>
        <v>2996</v>
      </c>
      <c r="G69" s="227"/>
      <c r="H69" s="227">
        <v>2897.4</v>
      </c>
      <c r="I69" s="167">
        <f t="shared" si="7"/>
        <v>98.599999999999909</v>
      </c>
      <c r="J69" s="162">
        <f t="shared" si="4"/>
        <v>10486</v>
      </c>
      <c r="K69" s="162">
        <f t="shared" si="5"/>
        <v>0</v>
      </c>
      <c r="L69" s="162">
        <f t="shared" si="6"/>
        <v>10140.9</v>
      </c>
      <c r="M69" s="162">
        <f t="shared" si="8"/>
        <v>345.10000000000036</v>
      </c>
      <c r="N69" s="180"/>
      <c r="P69" s="165"/>
      <c r="R69" s="162">
        <f>L69-'PAY EST 3'!L68</f>
        <v>10140.9</v>
      </c>
    </row>
    <row r="70" spans="1:18">
      <c r="A70" s="256"/>
      <c r="B70" s="23" t="e">
        <f t="shared" si="0"/>
        <v>#N/A</v>
      </c>
      <c r="C70" s="137"/>
      <c r="D70" s="24" t="e">
        <f t="shared" si="1"/>
        <v>#N/A</v>
      </c>
      <c r="E70" s="231" t="e">
        <f t="shared" si="2"/>
        <v>#N/A</v>
      </c>
      <c r="F70" s="225" t="e">
        <f t="shared" si="3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  <c r="R70" s="162">
        <f>L70-'PAY EST 3'!L69</f>
        <v>0</v>
      </c>
    </row>
    <row r="71" spans="1:18">
      <c r="A71" s="256" t="s">
        <v>268</v>
      </c>
      <c r="B71" s="23" t="str">
        <f t="shared" si="0"/>
        <v>Temporary Traffic Control</v>
      </c>
      <c r="C71" s="137"/>
      <c r="D71" s="24" t="str">
        <f t="shared" si="1"/>
        <v>ls</v>
      </c>
      <c r="E71" s="231">
        <f t="shared" si="2"/>
        <v>17350</v>
      </c>
      <c r="F71" s="225">
        <f t="shared" si="3"/>
        <v>1</v>
      </c>
      <c r="G71" s="227"/>
      <c r="H71" s="227">
        <v>1</v>
      </c>
      <c r="I71" s="167">
        <f t="shared" si="7"/>
        <v>0</v>
      </c>
      <c r="J71" s="162">
        <f t="shared" si="4"/>
        <v>17350</v>
      </c>
      <c r="K71" s="162">
        <f t="shared" si="5"/>
        <v>0</v>
      </c>
      <c r="L71" s="162">
        <f t="shared" si="6"/>
        <v>17350</v>
      </c>
      <c r="M71" s="162">
        <f t="shared" si="8"/>
        <v>0</v>
      </c>
      <c r="N71" s="180"/>
      <c r="P71" s="165"/>
      <c r="R71" s="162">
        <f>L71-'PAY EST 3'!L70</f>
        <v>12145</v>
      </c>
    </row>
    <row r="72" spans="1:18">
      <c r="A72" s="256"/>
      <c r="B72" s="23" t="e">
        <f t="shared" si="0"/>
        <v>#N/A</v>
      </c>
      <c r="C72" s="137"/>
      <c r="D72" s="24" t="e">
        <f t="shared" si="1"/>
        <v>#N/A</v>
      </c>
      <c r="E72" s="232" t="e">
        <f t="shared" si="2"/>
        <v>#N/A</v>
      </c>
      <c r="F72" s="225" t="e">
        <f t="shared" si="3"/>
        <v>#N/A</v>
      </c>
      <c r="G72" s="227"/>
      <c r="H72" s="227"/>
      <c r="I72" s="167" t="e">
        <f t="shared" si="7"/>
        <v>#N/A</v>
      </c>
      <c r="J72" s="162">
        <f t="shared" si="4"/>
        <v>0</v>
      </c>
      <c r="K72" s="162">
        <f t="shared" si="5"/>
        <v>0</v>
      </c>
      <c r="L72" s="162">
        <f t="shared" si="6"/>
        <v>0</v>
      </c>
      <c r="M72" s="162">
        <f t="shared" si="8"/>
        <v>0</v>
      </c>
      <c r="N72" s="180"/>
      <c r="P72" s="165"/>
      <c r="R72" s="162">
        <f>L72-'PAY EST 3'!L71</f>
        <v>0</v>
      </c>
    </row>
    <row r="73" spans="1:18">
      <c r="A73" s="256" t="s">
        <v>269</v>
      </c>
      <c r="B73" s="23" t="str">
        <f t="shared" si="0"/>
        <v>Wattles</v>
      </c>
      <c r="C73" s="137"/>
      <c r="D73" s="24" t="str">
        <f t="shared" si="1"/>
        <v>lf</v>
      </c>
      <c r="E73" s="232">
        <f t="shared" si="2"/>
        <v>3.7</v>
      </c>
      <c r="F73" s="225">
        <f t="shared" si="3"/>
        <v>500</v>
      </c>
      <c r="G73" s="227"/>
      <c r="H73" s="227">
        <v>74</v>
      </c>
      <c r="I73" s="167">
        <f t="shared" si="7"/>
        <v>426</v>
      </c>
      <c r="J73" s="162">
        <f t="shared" si="4"/>
        <v>1850</v>
      </c>
      <c r="K73" s="162">
        <f t="shared" si="5"/>
        <v>0</v>
      </c>
      <c r="L73" s="162">
        <f t="shared" si="6"/>
        <v>273.8</v>
      </c>
      <c r="M73" s="162">
        <f t="shared" si="8"/>
        <v>1576.2</v>
      </c>
      <c r="N73" s="180"/>
      <c r="P73" s="165"/>
      <c r="R73" s="162">
        <f>L73-'PAY EST 3'!L72</f>
        <v>0</v>
      </c>
    </row>
    <row r="74" spans="1:18">
      <c r="A74" s="256" t="s">
        <v>270</v>
      </c>
      <c r="B74" s="23" t="str">
        <f t="shared" ref="B74:B108" si="10">VLOOKUP($A74,BIDTAB,2,FALSE)</f>
        <v>Inlet Protection Device</v>
      </c>
      <c r="C74" s="137"/>
      <c r="D74" s="24" t="str">
        <f t="shared" ref="D74:D108" si="11">VLOOKUP($A74,BIDTAB,3,FALSE)</f>
        <v>ea</v>
      </c>
      <c r="E74" s="233">
        <f t="shared" ref="E74:E108" si="12">VLOOKUP($A74,BIDTAB,7,FALSE)</f>
        <v>210</v>
      </c>
      <c r="F74" s="225">
        <f t="shared" ref="F74:F108" si="13">VLOOKUP($A74,BIDTAB,4,FALSE)</f>
        <v>17</v>
      </c>
      <c r="G74" s="227"/>
      <c r="H74" s="227">
        <v>9</v>
      </c>
      <c r="I74" s="167">
        <f t="shared" si="7"/>
        <v>8</v>
      </c>
      <c r="J74" s="162">
        <f t="shared" ref="J74:J77" si="14">IF(ISERROR(F74*E74),0,F74*E74)</f>
        <v>3570</v>
      </c>
      <c r="K74" s="162">
        <f t="shared" ref="K74:K77" si="15">IF(ISERROR(G74*E74),0,G74*E74)</f>
        <v>0</v>
      </c>
      <c r="L74" s="162">
        <f t="shared" ref="L74:L77" si="16">IF(ISERROR(H74*E74),0,H74*E74)</f>
        <v>1890</v>
      </c>
      <c r="M74" s="162">
        <f t="shared" si="8"/>
        <v>1680</v>
      </c>
      <c r="N74" s="180"/>
      <c r="P74" s="165"/>
      <c r="R74" s="162">
        <f>L74-'PAY EST 3'!L73</f>
        <v>1050</v>
      </c>
    </row>
    <row r="75" spans="1:18">
      <c r="A75" s="256" t="s">
        <v>271</v>
      </c>
      <c r="B75" s="23" t="str">
        <f t="shared" si="10"/>
        <v>Inlet Protection Device, Maintenance</v>
      </c>
      <c r="C75" s="137"/>
      <c r="D75" s="24" t="str">
        <f t="shared" si="11"/>
        <v>ea</v>
      </c>
      <c r="E75" s="233">
        <f t="shared" si="12"/>
        <v>52.5</v>
      </c>
      <c r="F75" s="225">
        <f t="shared" si="13"/>
        <v>17</v>
      </c>
      <c r="G75" s="227"/>
      <c r="H75" s="227">
        <v>17</v>
      </c>
      <c r="I75" s="167">
        <f t="shared" ref="I75:I108" si="17">IF(ISBLANK(G75),F75,F75+G75)-H75</f>
        <v>0</v>
      </c>
      <c r="J75" s="162">
        <f t="shared" si="14"/>
        <v>892.5</v>
      </c>
      <c r="K75" s="162">
        <f t="shared" si="15"/>
        <v>0</v>
      </c>
      <c r="L75" s="162">
        <f t="shared" si="16"/>
        <v>892.5</v>
      </c>
      <c r="M75" s="162">
        <f t="shared" ref="M75:M77" si="18">SUM(J75:K75)-L75</f>
        <v>0</v>
      </c>
      <c r="N75" s="180"/>
      <c r="P75" s="165"/>
      <c r="R75" s="162">
        <f>L75-'PAY EST 3'!L74</f>
        <v>682.5</v>
      </c>
    </row>
    <row r="76" spans="1:18">
      <c r="A76" s="256" t="s">
        <v>272</v>
      </c>
      <c r="B76" s="23" t="str">
        <f t="shared" si="10"/>
        <v>Modular Block Retaining Wall</v>
      </c>
      <c r="C76" s="137"/>
      <c r="D76" s="24" t="str">
        <f t="shared" si="11"/>
        <v>sf</v>
      </c>
      <c r="E76" s="233">
        <f t="shared" si="12"/>
        <v>70.349999999999994</v>
      </c>
      <c r="F76" s="225">
        <f t="shared" si="13"/>
        <v>60</v>
      </c>
      <c r="G76" s="227"/>
      <c r="H76" s="227">
        <v>27</v>
      </c>
      <c r="I76" s="167">
        <f t="shared" si="17"/>
        <v>33</v>
      </c>
      <c r="J76" s="162">
        <f t="shared" si="14"/>
        <v>4221</v>
      </c>
      <c r="K76" s="162">
        <f t="shared" si="15"/>
        <v>0</v>
      </c>
      <c r="L76" s="162">
        <f t="shared" si="16"/>
        <v>1899.4499999999998</v>
      </c>
      <c r="M76" s="162">
        <f t="shared" si="18"/>
        <v>2321.5500000000002</v>
      </c>
      <c r="N76" s="180"/>
      <c r="P76" s="165"/>
      <c r="R76" s="162">
        <f>L76-'PAY EST 3'!L75</f>
        <v>1899.4499999999998</v>
      </c>
    </row>
    <row r="77" spans="1:18">
      <c r="A77" s="256"/>
      <c r="B77" s="23" t="e">
        <f t="shared" si="10"/>
        <v>#N/A</v>
      </c>
      <c r="C77" s="137"/>
      <c r="D77" s="24" t="e">
        <f t="shared" si="11"/>
        <v>#N/A</v>
      </c>
      <c r="E77" s="232" t="e">
        <f t="shared" si="12"/>
        <v>#N/A</v>
      </c>
      <c r="F77" s="225" t="e">
        <f t="shared" si="13"/>
        <v>#N/A</v>
      </c>
      <c r="G77" s="227"/>
      <c r="H77" s="227"/>
      <c r="I77" s="167" t="e">
        <f t="shared" si="17"/>
        <v>#N/A</v>
      </c>
      <c r="J77" s="162">
        <f t="shared" si="14"/>
        <v>0</v>
      </c>
      <c r="K77" s="162">
        <f t="shared" si="15"/>
        <v>0</v>
      </c>
      <c r="L77" s="162">
        <f t="shared" si="16"/>
        <v>0</v>
      </c>
      <c r="M77" s="162">
        <f t="shared" si="18"/>
        <v>0</v>
      </c>
      <c r="N77" s="180"/>
      <c r="P77" s="165"/>
      <c r="R77" s="162">
        <f>L77-'PAY EST 3'!L76</f>
        <v>0</v>
      </c>
    </row>
    <row r="78" spans="1:18">
      <c r="A78" s="256" t="s">
        <v>273</v>
      </c>
      <c r="B78" s="23" t="str">
        <f t="shared" si="10"/>
        <v>Construction Survey/Staking</v>
      </c>
      <c r="C78" s="137"/>
      <c r="D78" s="24" t="str">
        <f t="shared" si="11"/>
        <v>ls</v>
      </c>
      <c r="E78" s="232">
        <f t="shared" si="12"/>
        <v>16065</v>
      </c>
      <c r="F78" s="225">
        <f t="shared" si="13"/>
        <v>1</v>
      </c>
      <c r="G78" s="227"/>
      <c r="H78" s="227">
        <v>1</v>
      </c>
      <c r="I78" s="167">
        <f t="shared" si="17"/>
        <v>0</v>
      </c>
      <c r="J78" s="162">
        <f>IF(ISERROR(F78*E78),0,F78*E78)</f>
        <v>16065</v>
      </c>
      <c r="K78" s="162">
        <f>IF(ISERROR(G78*E78),0,G78*E78)</f>
        <v>0</v>
      </c>
      <c r="L78" s="162">
        <f>IF(ISERROR(H78*E78),0,H78*E78)</f>
        <v>16065</v>
      </c>
      <c r="M78" s="162">
        <f t="shared" ref="M78:M108" si="19">SUM(J78:K78)-L78</f>
        <v>0</v>
      </c>
      <c r="N78" s="180"/>
      <c r="P78" s="165"/>
      <c r="R78" s="162">
        <f>L78-'PAY EST 3'!L77</f>
        <v>9639</v>
      </c>
    </row>
    <row r="79" spans="1:18">
      <c r="A79" s="256" t="s">
        <v>274</v>
      </c>
      <c r="B79" s="23" t="str">
        <f t="shared" si="10"/>
        <v>Pedestrian Facility Construction Survey &amp; Staking</v>
      </c>
      <c r="C79" s="137"/>
      <c r="D79" s="24" t="str">
        <f t="shared" si="11"/>
        <v>ea</v>
      </c>
      <c r="E79" s="232">
        <f t="shared" si="12"/>
        <v>275</v>
      </c>
      <c r="F79" s="225">
        <f t="shared" si="13"/>
        <v>13</v>
      </c>
      <c r="G79" s="227"/>
      <c r="H79" s="227">
        <v>0</v>
      </c>
      <c r="I79" s="167">
        <f t="shared" si="17"/>
        <v>13</v>
      </c>
      <c r="J79" s="162">
        <f t="shared" ref="J79:J108" si="20">IF(ISERROR(F79*E79),0,F79*E79)</f>
        <v>3575</v>
      </c>
      <c r="K79" s="162">
        <f t="shared" ref="K79:K108" si="21">IF(ISERROR(G79*E79),0,G79*E79)</f>
        <v>0</v>
      </c>
      <c r="L79" s="162">
        <f t="shared" ref="L79:L108" si="22">IF(ISERROR(H79*E79),0,H79*E79)</f>
        <v>0</v>
      </c>
      <c r="M79" s="162">
        <f t="shared" si="19"/>
        <v>3575</v>
      </c>
      <c r="N79" s="180"/>
      <c r="P79" s="165"/>
      <c r="R79" s="162">
        <f>L79-'PAY EST 3'!L78</f>
        <v>0</v>
      </c>
    </row>
    <row r="80" spans="1:18">
      <c r="A80" s="256" t="s">
        <v>275</v>
      </c>
      <c r="B80" s="23" t="str">
        <f t="shared" si="10"/>
        <v>Monument Preservation or Replacement</v>
      </c>
      <c r="C80" s="137"/>
      <c r="D80" s="24" t="str">
        <f t="shared" si="11"/>
        <v>ls</v>
      </c>
      <c r="E80" s="231">
        <f t="shared" si="12"/>
        <v>2310</v>
      </c>
      <c r="F80" s="225">
        <f t="shared" si="13"/>
        <v>1</v>
      </c>
      <c r="G80" s="227"/>
      <c r="H80" s="227">
        <v>0</v>
      </c>
      <c r="I80" s="167">
        <f t="shared" si="17"/>
        <v>1</v>
      </c>
      <c r="J80" s="162">
        <f t="shared" si="20"/>
        <v>2310</v>
      </c>
      <c r="K80" s="162">
        <f t="shared" si="21"/>
        <v>0</v>
      </c>
      <c r="L80" s="162">
        <f t="shared" si="22"/>
        <v>0</v>
      </c>
      <c r="M80" s="162">
        <f t="shared" si="19"/>
        <v>2310</v>
      </c>
      <c r="N80" s="180"/>
      <c r="P80" s="165"/>
      <c r="R80" s="162">
        <f>L80-'PAY EST 3'!L79</f>
        <v>0</v>
      </c>
    </row>
    <row r="81" spans="1:18">
      <c r="A81" s="256" t="s">
        <v>276</v>
      </c>
      <c r="B81" s="23" t="str">
        <f t="shared" si="10"/>
        <v>Mobilization</v>
      </c>
      <c r="C81" s="137"/>
      <c r="D81" s="24" t="str">
        <f t="shared" si="11"/>
        <v>ls</v>
      </c>
      <c r="E81" s="231">
        <f t="shared" si="12"/>
        <v>35000</v>
      </c>
      <c r="F81" s="225">
        <f t="shared" si="13"/>
        <v>1</v>
      </c>
      <c r="G81" s="227"/>
      <c r="H81" s="227">
        <v>0.95</v>
      </c>
      <c r="I81" s="167">
        <f t="shared" si="17"/>
        <v>5.0000000000000044E-2</v>
      </c>
      <c r="J81" s="162">
        <f t="shared" si="20"/>
        <v>35000</v>
      </c>
      <c r="K81" s="162">
        <f t="shared" si="21"/>
        <v>0</v>
      </c>
      <c r="L81" s="162">
        <f t="shared" si="22"/>
        <v>33250</v>
      </c>
      <c r="M81" s="162">
        <f t="shared" si="19"/>
        <v>1750</v>
      </c>
      <c r="N81" s="180"/>
      <c r="P81" s="165"/>
      <c r="R81" s="162">
        <f>L81-'PAY EST 3'!L80</f>
        <v>22750</v>
      </c>
    </row>
    <row r="82" spans="1:18">
      <c r="A82" s="256" t="s">
        <v>277</v>
      </c>
      <c r="B82" s="23" t="str">
        <f t="shared" si="10"/>
        <v>Concrete Washout</v>
      </c>
      <c r="C82" s="137"/>
      <c r="D82" s="24" t="str">
        <f t="shared" si="11"/>
        <v>ls</v>
      </c>
      <c r="E82" s="231">
        <f t="shared" si="12"/>
        <v>3900</v>
      </c>
      <c r="F82" s="225">
        <f t="shared" si="13"/>
        <v>1</v>
      </c>
      <c r="G82" s="227"/>
      <c r="H82" s="227">
        <v>0.5</v>
      </c>
      <c r="I82" s="167">
        <f t="shared" si="17"/>
        <v>0.5</v>
      </c>
      <c r="J82" s="162">
        <f t="shared" si="20"/>
        <v>3900</v>
      </c>
      <c r="K82" s="162">
        <f t="shared" si="21"/>
        <v>0</v>
      </c>
      <c r="L82" s="162">
        <f t="shared" si="22"/>
        <v>1950</v>
      </c>
      <c r="M82" s="162">
        <f t="shared" si="19"/>
        <v>1950</v>
      </c>
      <c r="N82" s="180"/>
      <c r="P82" s="165"/>
      <c r="R82" s="162">
        <f>L82-'PAY EST 3'!L81</f>
        <v>1950</v>
      </c>
    </row>
    <row r="83" spans="1:18">
      <c r="A83" s="256"/>
      <c r="B83" s="23" t="e">
        <f t="shared" si="10"/>
        <v>#N/A</v>
      </c>
      <c r="C83" s="137"/>
      <c r="D83" s="24" t="e">
        <f t="shared" si="11"/>
        <v>#N/A</v>
      </c>
      <c r="E83" s="231" t="e">
        <f t="shared" si="12"/>
        <v>#N/A</v>
      </c>
      <c r="F83" s="225" t="e">
        <f t="shared" si="13"/>
        <v>#N/A</v>
      </c>
      <c r="G83" s="227"/>
      <c r="H83" s="227"/>
      <c r="I83" s="167" t="e">
        <f t="shared" si="17"/>
        <v>#N/A</v>
      </c>
      <c r="J83" s="162">
        <f t="shared" si="20"/>
        <v>0</v>
      </c>
      <c r="K83" s="162">
        <f t="shared" si="21"/>
        <v>0</v>
      </c>
      <c r="L83" s="162">
        <f t="shared" si="22"/>
        <v>0</v>
      </c>
      <c r="M83" s="162">
        <f t="shared" si="19"/>
        <v>0</v>
      </c>
      <c r="N83" s="180"/>
      <c r="P83" s="165"/>
      <c r="R83" s="354">
        <f>L83-'PAY EST 3'!L82</f>
        <v>0</v>
      </c>
    </row>
    <row r="84" spans="1:18">
      <c r="A84" s="256"/>
      <c r="B84" s="23" t="e">
        <f t="shared" si="10"/>
        <v>#N/A</v>
      </c>
      <c r="C84" s="137"/>
      <c r="D84" s="24" t="e">
        <f t="shared" si="11"/>
        <v>#N/A</v>
      </c>
      <c r="E84" s="231" t="e">
        <f t="shared" si="12"/>
        <v>#N/A</v>
      </c>
      <c r="F84" s="225" t="e">
        <f t="shared" si="13"/>
        <v>#N/A</v>
      </c>
      <c r="G84" s="227"/>
      <c r="H84" s="227"/>
      <c r="I84" s="167" t="e">
        <f t="shared" si="17"/>
        <v>#N/A</v>
      </c>
      <c r="J84" s="162">
        <f t="shared" si="20"/>
        <v>0</v>
      </c>
      <c r="K84" s="162">
        <f t="shared" si="21"/>
        <v>0</v>
      </c>
      <c r="L84" s="162">
        <f t="shared" si="22"/>
        <v>0</v>
      </c>
      <c r="M84" s="162">
        <f t="shared" si="19"/>
        <v>0</v>
      </c>
      <c r="N84" s="180"/>
      <c r="P84" s="165"/>
      <c r="R84" s="354">
        <f>L84-'PAY EST 3'!L83</f>
        <v>0</v>
      </c>
    </row>
    <row r="85" spans="1:18">
      <c r="A85" s="256"/>
      <c r="B85" s="23" t="e">
        <f t="shared" si="10"/>
        <v>#N/A</v>
      </c>
      <c r="C85" s="137"/>
      <c r="D85" s="24" t="e">
        <f t="shared" si="11"/>
        <v>#N/A</v>
      </c>
      <c r="E85" s="231" t="e">
        <f t="shared" si="12"/>
        <v>#N/A</v>
      </c>
      <c r="F85" s="225" t="e">
        <f t="shared" si="13"/>
        <v>#N/A</v>
      </c>
      <c r="G85" s="227"/>
      <c r="H85" s="227"/>
      <c r="I85" s="167" t="e">
        <f t="shared" si="17"/>
        <v>#N/A</v>
      </c>
      <c r="J85" s="162">
        <f t="shared" si="20"/>
        <v>0</v>
      </c>
      <c r="K85" s="162">
        <f t="shared" si="21"/>
        <v>0</v>
      </c>
      <c r="L85" s="162">
        <f t="shared" si="22"/>
        <v>0</v>
      </c>
      <c r="M85" s="162">
        <f t="shared" si="19"/>
        <v>0</v>
      </c>
      <c r="N85" s="180"/>
      <c r="P85" s="165"/>
      <c r="R85" s="354">
        <f>L85-'PAY EST 3'!L84</f>
        <v>0</v>
      </c>
    </row>
    <row r="86" spans="1:18">
      <c r="A86" s="256"/>
      <c r="B86" s="23" t="e">
        <f t="shared" si="10"/>
        <v>#N/A</v>
      </c>
      <c r="C86" s="137"/>
      <c r="D86" s="24" t="e">
        <f t="shared" si="11"/>
        <v>#N/A</v>
      </c>
      <c r="E86" s="231" t="e">
        <f t="shared" si="12"/>
        <v>#N/A</v>
      </c>
      <c r="F86" s="225" t="e">
        <f t="shared" si="13"/>
        <v>#N/A</v>
      </c>
      <c r="G86" s="227"/>
      <c r="H86" s="227"/>
      <c r="I86" s="167" t="e">
        <f t="shared" si="17"/>
        <v>#N/A</v>
      </c>
      <c r="J86" s="162">
        <f t="shared" si="20"/>
        <v>0</v>
      </c>
      <c r="K86" s="162">
        <f t="shared" si="21"/>
        <v>0</v>
      </c>
      <c r="L86" s="162">
        <f t="shared" si="22"/>
        <v>0</v>
      </c>
      <c r="M86" s="162">
        <f t="shared" si="19"/>
        <v>0</v>
      </c>
      <c r="N86" s="180"/>
      <c r="P86" s="165"/>
      <c r="R86" s="354">
        <f>L86-'PAY EST 3'!L85</f>
        <v>0</v>
      </c>
    </row>
    <row r="87" spans="1:18">
      <c r="A87" s="256"/>
      <c r="B87" s="23" t="e">
        <f t="shared" si="10"/>
        <v>#N/A</v>
      </c>
      <c r="C87" s="137"/>
      <c r="D87" s="24" t="e">
        <f t="shared" si="11"/>
        <v>#N/A</v>
      </c>
      <c r="E87" s="231" t="e">
        <f t="shared" si="12"/>
        <v>#N/A</v>
      </c>
      <c r="F87" s="225" t="e">
        <f t="shared" si="13"/>
        <v>#N/A</v>
      </c>
      <c r="G87" s="227"/>
      <c r="H87" s="227"/>
      <c r="I87" s="167" t="e">
        <f t="shared" si="17"/>
        <v>#N/A</v>
      </c>
      <c r="J87" s="162">
        <f t="shared" si="20"/>
        <v>0</v>
      </c>
      <c r="K87" s="162">
        <f t="shared" si="21"/>
        <v>0</v>
      </c>
      <c r="L87" s="162">
        <f t="shared" si="22"/>
        <v>0</v>
      </c>
      <c r="M87" s="162">
        <f t="shared" si="19"/>
        <v>0</v>
      </c>
      <c r="N87" s="180"/>
      <c r="P87" s="165"/>
      <c r="R87" s="354">
        <f>L87-'PAY EST 3'!L86</f>
        <v>0</v>
      </c>
    </row>
    <row r="88" spans="1:18">
      <c r="A88" s="256"/>
      <c r="B88" s="23" t="e">
        <f t="shared" si="10"/>
        <v>#N/A</v>
      </c>
      <c r="C88" s="137"/>
      <c r="D88" s="24" t="e">
        <f t="shared" si="11"/>
        <v>#N/A</v>
      </c>
      <c r="E88" s="231" t="e">
        <f t="shared" si="12"/>
        <v>#N/A</v>
      </c>
      <c r="F88" s="225" t="e">
        <f t="shared" si="13"/>
        <v>#N/A</v>
      </c>
      <c r="G88" s="227"/>
      <c r="H88" s="227"/>
      <c r="I88" s="167" t="e">
        <f t="shared" si="17"/>
        <v>#N/A</v>
      </c>
      <c r="J88" s="162">
        <f t="shared" si="20"/>
        <v>0</v>
      </c>
      <c r="K88" s="162">
        <f t="shared" si="21"/>
        <v>0</v>
      </c>
      <c r="L88" s="162">
        <f t="shared" si="22"/>
        <v>0</v>
      </c>
      <c r="M88" s="162">
        <f t="shared" si="19"/>
        <v>0</v>
      </c>
      <c r="N88" s="180"/>
      <c r="P88" s="165"/>
      <c r="R88" s="354">
        <f>L88-'PAY EST 3'!L87</f>
        <v>0</v>
      </c>
    </row>
    <row r="89" spans="1:18">
      <c r="A89" s="256"/>
      <c r="B89" s="23" t="e">
        <f t="shared" si="10"/>
        <v>#N/A</v>
      </c>
      <c r="C89" s="137"/>
      <c r="D89" s="24" t="e">
        <f t="shared" si="11"/>
        <v>#N/A</v>
      </c>
      <c r="E89" s="231" t="e">
        <f t="shared" si="12"/>
        <v>#N/A</v>
      </c>
      <c r="F89" s="225" t="e">
        <f t="shared" si="13"/>
        <v>#N/A</v>
      </c>
      <c r="G89" s="227"/>
      <c r="H89" s="227"/>
      <c r="I89" s="167" t="e">
        <f t="shared" si="17"/>
        <v>#N/A</v>
      </c>
      <c r="J89" s="162">
        <f t="shared" si="20"/>
        <v>0</v>
      </c>
      <c r="K89" s="162">
        <f t="shared" si="21"/>
        <v>0</v>
      </c>
      <c r="L89" s="162">
        <f t="shared" si="22"/>
        <v>0</v>
      </c>
      <c r="M89" s="162">
        <f t="shared" si="19"/>
        <v>0</v>
      </c>
      <c r="N89" s="180"/>
      <c r="P89" s="165"/>
      <c r="R89" s="354">
        <f>L89-'PAY EST 3'!L88</f>
        <v>0</v>
      </c>
    </row>
    <row r="90" spans="1:18">
      <c r="A90" s="256"/>
      <c r="B90" s="23" t="e">
        <f t="shared" si="10"/>
        <v>#N/A</v>
      </c>
      <c r="C90" s="137"/>
      <c r="D90" s="24" t="e">
        <f t="shared" si="11"/>
        <v>#N/A</v>
      </c>
      <c r="E90" s="231" t="e">
        <f t="shared" si="12"/>
        <v>#N/A</v>
      </c>
      <c r="F90" s="225" t="e">
        <f t="shared" si="13"/>
        <v>#N/A</v>
      </c>
      <c r="G90" s="227"/>
      <c r="H90" s="227"/>
      <c r="I90" s="167" t="e">
        <f t="shared" si="17"/>
        <v>#N/A</v>
      </c>
      <c r="J90" s="162">
        <f t="shared" si="20"/>
        <v>0</v>
      </c>
      <c r="K90" s="162">
        <f t="shared" si="21"/>
        <v>0</v>
      </c>
      <c r="L90" s="162">
        <f t="shared" si="22"/>
        <v>0</v>
      </c>
      <c r="M90" s="162">
        <f t="shared" si="19"/>
        <v>0</v>
      </c>
      <c r="N90" s="180"/>
      <c r="P90" s="165"/>
      <c r="R90" s="354">
        <f>L90-'PAY EST 3'!L89</f>
        <v>0</v>
      </c>
    </row>
    <row r="91" spans="1:18">
      <c r="A91" s="256"/>
      <c r="B91" s="23" t="e">
        <f t="shared" si="10"/>
        <v>#N/A</v>
      </c>
      <c r="C91" s="137"/>
      <c r="D91" s="24" t="e">
        <f t="shared" si="11"/>
        <v>#N/A</v>
      </c>
      <c r="E91" s="231" t="e">
        <f t="shared" si="12"/>
        <v>#N/A</v>
      </c>
      <c r="F91" s="225" t="e">
        <f t="shared" si="13"/>
        <v>#N/A</v>
      </c>
      <c r="G91" s="227"/>
      <c r="H91" s="227"/>
      <c r="I91" s="167" t="e">
        <f t="shared" si="17"/>
        <v>#N/A</v>
      </c>
      <c r="J91" s="162">
        <f t="shared" si="20"/>
        <v>0</v>
      </c>
      <c r="K91" s="162">
        <f t="shared" si="21"/>
        <v>0</v>
      </c>
      <c r="L91" s="162">
        <f t="shared" si="22"/>
        <v>0</v>
      </c>
      <c r="M91" s="162">
        <f t="shared" si="19"/>
        <v>0</v>
      </c>
      <c r="N91" s="180"/>
      <c r="P91" s="165"/>
      <c r="R91" s="354">
        <f>L91-'PAY EST 3'!L90</f>
        <v>0</v>
      </c>
    </row>
    <row r="92" spans="1:18">
      <c r="A92" s="256"/>
      <c r="B92" s="23" t="e">
        <f t="shared" si="10"/>
        <v>#N/A</v>
      </c>
      <c r="C92" s="137"/>
      <c r="D92" s="24" t="e">
        <f t="shared" si="11"/>
        <v>#N/A</v>
      </c>
      <c r="E92" s="231" t="e">
        <f t="shared" si="12"/>
        <v>#N/A</v>
      </c>
      <c r="F92" s="225" t="e">
        <f t="shared" si="13"/>
        <v>#N/A</v>
      </c>
      <c r="G92" s="227"/>
      <c r="H92" s="227"/>
      <c r="I92" s="167" t="e">
        <f t="shared" si="17"/>
        <v>#N/A</v>
      </c>
      <c r="J92" s="162">
        <f t="shared" si="20"/>
        <v>0</v>
      </c>
      <c r="K92" s="162">
        <f t="shared" si="21"/>
        <v>0</v>
      </c>
      <c r="L92" s="162">
        <f t="shared" si="22"/>
        <v>0</v>
      </c>
      <c r="M92" s="162">
        <f t="shared" si="19"/>
        <v>0</v>
      </c>
      <c r="N92" s="180"/>
      <c r="P92" s="165"/>
      <c r="R92" s="354">
        <f>L92-'PAY EST 3'!L91</f>
        <v>0</v>
      </c>
    </row>
    <row r="93" spans="1:18">
      <c r="A93" s="256"/>
      <c r="B93" s="23" t="e">
        <f t="shared" si="10"/>
        <v>#N/A</v>
      </c>
      <c r="C93" s="137"/>
      <c r="D93" s="24" t="e">
        <f t="shared" si="11"/>
        <v>#N/A</v>
      </c>
      <c r="E93" s="231" t="e">
        <f t="shared" si="12"/>
        <v>#N/A</v>
      </c>
      <c r="F93" s="225" t="e">
        <f t="shared" si="13"/>
        <v>#N/A</v>
      </c>
      <c r="G93" s="227"/>
      <c r="H93" s="227"/>
      <c r="I93" s="167" t="e">
        <f t="shared" si="17"/>
        <v>#N/A</v>
      </c>
      <c r="J93" s="162">
        <f t="shared" si="20"/>
        <v>0</v>
      </c>
      <c r="K93" s="162">
        <f t="shared" si="21"/>
        <v>0</v>
      </c>
      <c r="L93" s="162">
        <f t="shared" si="22"/>
        <v>0</v>
      </c>
      <c r="M93" s="162">
        <f t="shared" si="19"/>
        <v>0</v>
      </c>
      <c r="N93" s="180"/>
      <c r="P93" s="165"/>
      <c r="R93" s="354">
        <f>L93-'PAY EST 3'!L92</f>
        <v>0</v>
      </c>
    </row>
    <row r="94" spans="1:18">
      <c r="A94" s="256"/>
      <c r="B94" s="23" t="e">
        <f t="shared" si="10"/>
        <v>#N/A</v>
      </c>
      <c r="C94" s="137"/>
      <c r="D94" s="24" t="e">
        <f t="shared" si="11"/>
        <v>#N/A</v>
      </c>
      <c r="E94" s="231" t="e">
        <f t="shared" si="12"/>
        <v>#N/A</v>
      </c>
      <c r="F94" s="225" t="e">
        <f t="shared" si="13"/>
        <v>#N/A</v>
      </c>
      <c r="G94" s="227"/>
      <c r="H94" s="227"/>
      <c r="I94" s="167" t="e">
        <f t="shared" si="17"/>
        <v>#N/A</v>
      </c>
      <c r="J94" s="162">
        <f t="shared" si="20"/>
        <v>0</v>
      </c>
      <c r="K94" s="162">
        <f t="shared" si="21"/>
        <v>0</v>
      </c>
      <c r="L94" s="162">
        <f t="shared" si="22"/>
        <v>0</v>
      </c>
      <c r="M94" s="162">
        <f t="shared" si="19"/>
        <v>0</v>
      </c>
      <c r="N94" s="180"/>
      <c r="P94" s="165"/>
      <c r="R94" s="354">
        <f>L94-'PAY EST 3'!L93</f>
        <v>0</v>
      </c>
    </row>
    <row r="95" spans="1:18">
      <c r="A95" s="256"/>
      <c r="B95" s="23" t="e">
        <f t="shared" si="10"/>
        <v>#N/A</v>
      </c>
      <c r="C95" s="137"/>
      <c r="D95" s="24" t="e">
        <f t="shared" si="11"/>
        <v>#N/A</v>
      </c>
      <c r="E95" s="231" t="e">
        <f t="shared" si="12"/>
        <v>#N/A</v>
      </c>
      <c r="F95" s="225" t="e">
        <f t="shared" si="13"/>
        <v>#N/A</v>
      </c>
      <c r="G95" s="227"/>
      <c r="H95" s="227"/>
      <c r="I95" s="167" t="e">
        <f t="shared" si="17"/>
        <v>#N/A</v>
      </c>
      <c r="J95" s="162">
        <f t="shared" si="20"/>
        <v>0</v>
      </c>
      <c r="K95" s="162">
        <f t="shared" si="21"/>
        <v>0</v>
      </c>
      <c r="L95" s="162">
        <f t="shared" si="22"/>
        <v>0</v>
      </c>
      <c r="M95" s="162">
        <f t="shared" si="19"/>
        <v>0</v>
      </c>
      <c r="N95" s="180"/>
      <c r="P95" s="165"/>
      <c r="R95" s="354">
        <f>L95-'PAY EST 3'!L94</f>
        <v>0</v>
      </c>
    </row>
    <row r="96" spans="1:18">
      <c r="A96" s="256"/>
      <c r="B96" s="23" t="e">
        <f t="shared" si="10"/>
        <v>#N/A</v>
      </c>
      <c r="C96" s="137"/>
      <c r="D96" s="24" t="e">
        <f t="shared" si="11"/>
        <v>#N/A</v>
      </c>
      <c r="E96" s="231" t="e">
        <f t="shared" si="12"/>
        <v>#N/A</v>
      </c>
      <c r="F96" s="225" t="e">
        <f t="shared" si="13"/>
        <v>#N/A</v>
      </c>
      <c r="G96" s="227"/>
      <c r="H96" s="227"/>
      <c r="I96" s="167" t="e">
        <f t="shared" si="17"/>
        <v>#N/A</v>
      </c>
      <c r="J96" s="162">
        <f t="shared" si="20"/>
        <v>0</v>
      </c>
      <c r="K96" s="162">
        <f t="shared" si="21"/>
        <v>0</v>
      </c>
      <c r="L96" s="162">
        <f t="shared" si="22"/>
        <v>0</v>
      </c>
      <c r="M96" s="162">
        <f t="shared" si="19"/>
        <v>0</v>
      </c>
      <c r="N96" s="180"/>
      <c r="P96" s="165"/>
      <c r="R96" s="354">
        <f>L96-'PAY EST 3'!L95</f>
        <v>0</v>
      </c>
    </row>
    <row r="97" spans="1:19">
      <c r="A97" s="256"/>
      <c r="B97" s="23" t="e">
        <f t="shared" si="10"/>
        <v>#N/A</v>
      </c>
      <c r="C97" s="137"/>
      <c r="D97" s="24" t="e">
        <f t="shared" si="11"/>
        <v>#N/A</v>
      </c>
      <c r="E97" s="231" t="e">
        <f t="shared" si="12"/>
        <v>#N/A</v>
      </c>
      <c r="F97" s="225" t="e">
        <f t="shared" si="13"/>
        <v>#N/A</v>
      </c>
      <c r="G97" s="227"/>
      <c r="H97" s="227"/>
      <c r="I97" s="167" t="e">
        <f t="shared" si="17"/>
        <v>#N/A</v>
      </c>
      <c r="J97" s="162">
        <f t="shared" si="20"/>
        <v>0</v>
      </c>
      <c r="K97" s="162">
        <f t="shared" si="21"/>
        <v>0</v>
      </c>
      <c r="L97" s="162">
        <f t="shared" si="22"/>
        <v>0</v>
      </c>
      <c r="M97" s="162">
        <f t="shared" si="19"/>
        <v>0</v>
      </c>
      <c r="N97" s="180"/>
      <c r="P97" s="165"/>
      <c r="R97" s="354">
        <f>L97-'PAY EST 3'!L96</f>
        <v>0</v>
      </c>
    </row>
    <row r="98" spans="1:19">
      <c r="A98" s="256"/>
      <c r="B98" s="23" t="e">
        <f t="shared" si="10"/>
        <v>#N/A</v>
      </c>
      <c r="C98" s="137"/>
      <c r="D98" s="24" t="e">
        <f t="shared" si="11"/>
        <v>#N/A</v>
      </c>
      <c r="E98" s="231" t="e">
        <f t="shared" si="12"/>
        <v>#N/A</v>
      </c>
      <c r="F98" s="225" t="e">
        <f t="shared" si="13"/>
        <v>#N/A</v>
      </c>
      <c r="G98" s="227"/>
      <c r="H98" s="227"/>
      <c r="I98" s="167" t="e">
        <f t="shared" si="17"/>
        <v>#N/A</v>
      </c>
      <c r="J98" s="162">
        <f t="shared" si="20"/>
        <v>0</v>
      </c>
      <c r="K98" s="162">
        <f t="shared" si="21"/>
        <v>0</v>
      </c>
      <c r="L98" s="162">
        <f t="shared" si="22"/>
        <v>0</v>
      </c>
      <c r="M98" s="162">
        <f t="shared" si="19"/>
        <v>0</v>
      </c>
      <c r="N98" s="180"/>
      <c r="P98" s="165"/>
      <c r="R98" s="354">
        <f>L98-'PAY EST 3'!L97</f>
        <v>0</v>
      </c>
    </row>
    <row r="99" spans="1:19">
      <c r="A99" s="256"/>
      <c r="B99" s="23" t="e">
        <f t="shared" si="10"/>
        <v>#N/A</v>
      </c>
      <c r="C99" s="137"/>
      <c r="D99" s="24" t="e">
        <f t="shared" si="11"/>
        <v>#N/A</v>
      </c>
      <c r="E99" s="231" t="e">
        <f t="shared" si="12"/>
        <v>#N/A</v>
      </c>
      <c r="F99" s="225" t="e">
        <f t="shared" si="13"/>
        <v>#N/A</v>
      </c>
      <c r="G99" s="227"/>
      <c r="H99" s="227"/>
      <c r="I99" s="167" t="e">
        <f t="shared" si="17"/>
        <v>#N/A</v>
      </c>
      <c r="J99" s="162">
        <f t="shared" si="20"/>
        <v>0</v>
      </c>
      <c r="K99" s="162">
        <f t="shared" si="21"/>
        <v>0</v>
      </c>
      <c r="L99" s="162">
        <f t="shared" si="22"/>
        <v>0</v>
      </c>
      <c r="M99" s="162">
        <f t="shared" si="19"/>
        <v>0</v>
      </c>
      <c r="N99" s="180"/>
      <c r="P99" s="165"/>
      <c r="R99" s="354">
        <f>L99-'PAY EST 3'!L98</f>
        <v>0</v>
      </c>
    </row>
    <row r="100" spans="1:19">
      <c r="A100" s="256"/>
      <c r="B100" s="23" t="e">
        <f t="shared" si="10"/>
        <v>#N/A</v>
      </c>
      <c r="C100" s="137"/>
      <c r="D100" s="24" t="e">
        <f t="shared" si="11"/>
        <v>#N/A</v>
      </c>
      <c r="E100" s="231" t="e">
        <f t="shared" si="12"/>
        <v>#N/A</v>
      </c>
      <c r="F100" s="225" t="e">
        <f t="shared" si="13"/>
        <v>#N/A</v>
      </c>
      <c r="G100" s="227"/>
      <c r="H100" s="227"/>
      <c r="I100" s="167" t="e">
        <f t="shared" si="17"/>
        <v>#N/A</v>
      </c>
      <c r="J100" s="162">
        <f t="shared" si="20"/>
        <v>0</v>
      </c>
      <c r="K100" s="162">
        <f t="shared" si="21"/>
        <v>0</v>
      </c>
      <c r="L100" s="162">
        <f t="shared" si="22"/>
        <v>0</v>
      </c>
      <c r="M100" s="162">
        <f t="shared" si="19"/>
        <v>0</v>
      </c>
      <c r="N100" s="180"/>
      <c r="P100" s="165"/>
      <c r="R100" s="354">
        <f>L100-'PAY EST 3'!L99</f>
        <v>0</v>
      </c>
    </row>
    <row r="101" spans="1:19">
      <c r="A101" s="256"/>
      <c r="B101" s="23" t="e">
        <f t="shared" si="10"/>
        <v>#N/A</v>
      </c>
      <c r="C101" s="137"/>
      <c r="D101" s="24" t="e">
        <f t="shared" si="11"/>
        <v>#N/A</v>
      </c>
      <c r="E101" s="231" t="e">
        <f t="shared" si="12"/>
        <v>#N/A</v>
      </c>
      <c r="F101" s="225" t="e">
        <f t="shared" si="13"/>
        <v>#N/A</v>
      </c>
      <c r="G101" s="227"/>
      <c r="H101" s="227"/>
      <c r="I101" s="167" t="e">
        <f t="shared" si="17"/>
        <v>#N/A</v>
      </c>
      <c r="J101" s="162">
        <f t="shared" si="20"/>
        <v>0</v>
      </c>
      <c r="K101" s="162">
        <f t="shared" si="21"/>
        <v>0</v>
      </c>
      <c r="L101" s="162">
        <f t="shared" si="22"/>
        <v>0</v>
      </c>
      <c r="M101" s="162">
        <f t="shared" si="19"/>
        <v>0</v>
      </c>
      <c r="N101" s="180"/>
      <c r="P101" s="165"/>
      <c r="R101" s="354">
        <f>L101-'PAY EST 3'!L100</f>
        <v>0</v>
      </c>
    </row>
    <row r="102" spans="1:19">
      <c r="A102" s="256"/>
      <c r="B102" s="23" t="e">
        <f t="shared" si="10"/>
        <v>#N/A</v>
      </c>
      <c r="C102" s="137"/>
      <c r="D102" s="24" t="e">
        <f t="shared" si="11"/>
        <v>#N/A</v>
      </c>
      <c r="E102" s="231" t="e">
        <f t="shared" si="12"/>
        <v>#N/A</v>
      </c>
      <c r="F102" s="225" t="e">
        <f t="shared" si="13"/>
        <v>#N/A</v>
      </c>
      <c r="G102" s="227"/>
      <c r="H102" s="227"/>
      <c r="I102" s="167" t="e">
        <f t="shared" si="17"/>
        <v>#N/A</v>
      </c>
      <c r="J102" s="162">
        <f t="shared" si="20"/>
        <v>0</v>
      </c>
      <c r="K102" s="162">
        <f t="shared" si="21"/>
        <v>0</v>
      </c>
      <c r="L102" s="162">
        <f t="shared" si="22"/>
        <v>0</v>
      </c>
      <c r="M102" s="162">
        <f t="shared" si="19"/>
        <v>0</v>
      </c>
      <c r="N102" s="180"/>
      <c r="P102" s="165"/>
      <c r="R102" s="354">
        <f>L102-'PAY EST 3'!L101</f>
        <v>0</v>
      </c>
    </row>
    <row r="103" spans="1:19">
      <c r="A103" s="256"/>
      <c r="B103" s="23" t="e">
        <f t="shared" si="10"/>
        <v>#N/A</v>
      </c>
      <c r="C103" s="137"/>
      <c r="D103" s="24" t="e">
        <f t="shared" si="11"/>
        <v>#N/A</v>
      </c>
      <c r="E103" s="231" t="e">
        <f t="shared" si="12"/>
        <v>#N/A</v>
      </c>
      <c r="F103" s="225" t="e">
        <f t="shared" si="13"/>
        <v>#N/A</v>
      </c>
      <c r="G103" s="227"/>
      <c r="H103" s="227"/>
      <c r="I103" s="167" t="e">
        <f t="shared" si="17"/>
        <v>#N/A</v>
      </c>
      <c r="J103" s="162">
        <f t="shared" si="20"/>
        <v>0</v>
      </c>
      <c r="K103" s="162">
        <f t="shared" si="21"/>
        <v>0</v>
      </c>
      <c r="L103" s="162">
        <f t="shared" si="22"/>
        <v>0</v>
      </c>
      <c r="M103" s="162">
        <f t="shared" si="19"/>
        <v>0</v>
      </c>
      <c r="N103" s="180"/>
      <c r="P103" s="165"/>
      <c r="R103" s="354">
        <f>L103-'PAY EST 3'!L102</f>
        <v>0</v>
      </c>
    </row>
    <row r="104" spans="1:19">
      <c r="A104" s="256"/>
      <c r="B104" s="23" t="e">
        <f t="shared" si="10"/>
        <v>#N/A</v>
      </c>
      <c r="C104" s="137"/>
      <c r="D104" s="24" t="e">
        <f t="shared" si="11"/>
        <v>#N/A</v>
      </c>
      <c r="E104" s="231" t="e">
        <f t="shared" si="12"/>
        <v>#N/A</v>
      </c>
      <c r="F104" s="225" t="e">
        <f t="shared" si="13"/>
        <v>#N/A</v>
      </c>
      <c r="G104" s="227"/>
      <c r="H104" s="227"/>
      <c r="I104" s="167" t="e">
        <f t="shared" si="17"/>
        <v>#N/A</v>
      </c>
      <c r="J104" s="162">
        <f t="shared" si="20"/>
        <v>0</v>
      </c>
      <c r="K104" s="162">
        <f t="shared" si="21"/>
        <v>0</v>
      </c>
      <c r="L104" s="162">
        <f t="shared" si="22"/>
        <v>0</v>
      </c>
      <c r="M104" s="162">
        <f t="shared" si="19"/>
        <v>0</v>
      </c>
      <c r="N104" s="180"/>
      <c r="P104" s="165"/>
      <c r="R104" s="354">
        <f>L104-'PAY EST 3'!L103</f>
        <v>0</v>
      </c>
    </row>
    <row r="105" spans="1:19">
      <c r="A105" s="256"/>
      <c r="B105" s="23" t="e">
        <f t="shared" si="10"/>
        <v>#N/A</v>
      </c>
      <c r="C105" s="137"/>
      <c r="D105" s="24" t="e">
        <f t="shared" si="11"/>
        <v>#N/A</v>
      </c>
      <c r="E105" s="231" t="e">
        <f t="shared" si="12"/>
        <v>#N/A</v>
      </c>
      <c r="F105" s="225" t="e">
        <f t="shared" si="13"/>
        <v>#N/A</v>
      </c>
      <c r="G105" s="227"/>
      <c r="H105" s="227"/>
      <c r="I105" s="167" t="e">
        <f t="shared" si="17"/>
        <v>#N/A</v>
      </c>
      <c r="J105" s="162">
        <f t="shared" si="20"/>
        <v>0</v>
      </c>
      <c r="K105" s="162">
        <f t="shared" si="21"/>
        <v>0</v>
      </c>
      <c r="L105" s="162">
        <f t="shared" si="22"/>
        <v>0</v>
      </c>
      <c r="M105" s="162">
        <f t="shared" si="19"/>
        <v>0</v>
      </c>
      <c r="N105" s="180"/>
      <c r="P105" s="165"/>
      <c r="R105" s="354">
        <f>L105-'PAY EST 3'!L104</f>
        <v>0</v>
      </c>
    </row>
    <row r="106" spans="1:19">
      <c r="A106" s="256"/>
      <c r="B106" s="23" t="e">
        <f t="shared" si="10"/>
        <v>#N/A</v>
      </c>
      <c r="C106" s="137"/>
      <c r="D106" s="24" t="e">
        <f t="shared" si="11"/>
        <v>#N/A</v>
      </c>
      <c r="E106" s="231" t="e">
        <f t="shared" si="12"/>
        <v>#N/A</v>
      </c>
      <c r="F106" s="225" t="e">
        <f t="shared" si="13"/>
        <v>#N/A</v>
      </c>
      <c r="G106" s="227"/>
      <c r="H106" s="227"/>
      <c r="I106" s="167" t="e">
        <f t="shared" si="17"/>
        <v>#N/A</v>
      </c>
      <c r="J106" s="162">
        <f t="shared" si="20"/>
        <v>0</v>
      </c>
      <c r="K106" s="162">
        <f t="shared" si="21"/>
        <v>0</v>
      </c>
      <c r="L106" s="162">
        <f t="shared" si="22"/>
        <v>0</v>
      </c>
      <c r="M106" s="162">
        <f t="shared" si="19"/>
        <v>0</v>
      </c>
      <c r="N106" s="180"/>
      <c r="P106" s="165"/>
      <c r="R106" s="354">
        <f>L106-'PAY EST 3'!L105</f>
        <v>0</v>
      </c>
    </row>
    <row r="107" spans="1:19">
      <c r="A107" s="256"/>
      <c r="B107" s="23" t="e">
        <f t="shared" si="10"/>
        <v>#N/A</v>
      </c>
      <c r="C107" s="137"/>
      <c r="D107" s="24" t="e">
        <f t="shared" si="11"/>
        <v>#N/A</v>
      </c>
      <c r="E107" s="231" t="e">
        <f t="shared" si="12"/>
        <v>#N/A</v>
      </c>
      <c r="F107" s="225" t="e">
        <f t="shared" si="13"/>
        <v>#N/A</v>
      </c>
      <c r="G107" s="227"/>
      <c r="H107" s="227"/>
      <c r="I107" s="167" t="e">
        <f t="shared" si="17"/>
        <v>#N/A</v>
      </c>
      <c r="J107" s="162">
        <f t="shared" si="20"/>
        <v>0</v>
      </c>
      <c r="K107" s="162">
        <f t="shared" si="21"/>
        <v>0</v>
      </c>
      <c r="L107" s="162">
        <f t="shared" si="22"/>
        <v>0</v>
      </c>
      <c r="M107" s="162">
        <f t="shared" si="19"/>
        <v>0</v>
      </c>
      <c r="N107" s="180"/>
      <c r="P107" s="165"/>
      <c r="R107" s="354">
        <f>L107-'PAY EST 3'!L106</f>
        <v>0</v>
      </c>
    </row>
    <row r="108" spans="1:19">
      <c r="A108" s="256"/>
      <c r="B108" s="23" t="e">
        <f t="shared" si="10"/>
        <v>#N/A</v>
      </c>
      <c r="C108" s="137"/>
      <c r="D108" s="24" t="e">
        <f t="shared" si="11"/>
        <v>#N/A</v>
      </c>
      <c r="E108" s="231" t="e">
        <f t="shared" si="12"/>
        <v>#N/A</v>
      </c>
      <c r="F108" s="225" t="e">
        <f t="shared" si="13"/>
        <v>#N/A</v>
      </c>
      <c r="G108" s="227"/>
      <c r="H108" s="227"/>
      <c r="I108" s="167" t="e">
        <f t="shared" si="17"/>
        <v>#N/A</v>
      </c>
      <c r="J108" s="162">
        <f t="shared" si="20"/>
        <v>0</v>
      </c>
      <c r="K108" s="162">
        <f t="shared" si="21"/>
        <v>0</v>
      </c>
      <c r="L108" s="162">
        <f t="shared" si="22"/>
        <v>0</v>
      </c>
      <c r="M108" s="162">
        <f t="shared" si="19"/>
        <v>0</v>
      </c>
      <c r="N108" s="180"/>
      <c r="P108" s="165"/>
      <c r="R108" s="354">
        <f>L108-'PAY EST 3'!L107</f>
        <v>0</v>
      </c>
    </row>
    <row r="109" spans="1:19" ht="13.5" thickBot="1">
      <c r="A109" s="257"/>
      <c r="B109" s="181"/>
      <c r="C109" s="181"/>
      <c r="D109" s="182"/>
      <c r="E109" s="183"/>
      <c r="F109" s="228"/>
      <c r="G109" s="229"/>
      <c r="H109" s="229"/>
      <c r="I109" s="230"/>
      <c r="J109" s="183"/>
      <c r="K109" s="183"/>
      <c r="L109" s="183"/>
      <c r="M109" s="184"/>
      <c r="N109" s="180"/>
      <c r="P109" s="165"/>
    </row>
    <row r="110" spans="1:19" ht="13.5" thickTop="1">
      <c r="A110" s="258"/>
      <c r="B110" s="137"/>
      <c r="C110" s="137"/>
      <c r="D110" s="139"/>
      <c r="E110" s="142"/>
      <c r="F110" s="142"/>
      <c r="I110" s="185" t="s">
        <v>115</v>
      </c>
      <c r="J110" s="186">
        <f>SUM(J8:J109)</f>
        <v>1833401.355</v>
      </c>
      <c r="K110" s="187"/>
      <c r="L110" s="188">
        <f>SUM(L8:L109)</f>
        <v>1828623.6875</v>
      </c>
      <c r="M110" s="189">
        <f>SUM(M8:M109)</f>
        <v>4777.6675000000387</v>
      </c>
      <c r="N110" s="137"/>
      <c r="P110" s="165"/>
      <c r="R110" s="140" t="s">
        <v>296</v>
      </c>
      <c r="S110" s="354">
        <f>SUM(R8:R86)*0.05</f>
        <v>64990.368374999991</v>
      </c>
    </row>
    <row r="111" spans="1:19">
      <c r="A111" s="258" t="s">
        <v>56</v>
      </c>
      <c r="B111" s="137"/>
      <c r="C111" s="137"/>
      <c r="D111" s="139"/>
      <c r="E111" s="137" t="s">
        <v>57</v>
      </c>
      <c r="F111" s="137"/>
      <c r="G111" s="199" t="s">
        <v>119</v>
      </c>
      <c r="H111" s="142"/>
      <c r="K111" s="141"/>
      <c r="L111" s="141"/>
      <c r="M111" s="141" t="s">
        <v>63</v>
      </c>
      <c r="N111" s="165"/>
      <c r="O111" s="145">
        <f>L110</f>
        <v>1828623.6875</v>
      </c>
      <c r="P111" s="165"/>
    </row>
    <row r="112" spans="1:19">
      <c r="A112" s="258"/>
      <c r="B112" s="137"/>
      <c r="E112" t="str">
        <f>'PROJECT INFO'!F16</f>
        <v>384-8101-439-7517</v>
      </c>
      <c r="F112"/>
      <c r="G112" s="217">
        <f>'PROJECT INFO'!C16</f>
        <v>0</v>
      </c>
      <c r="H112" s="347">
        <f>SUM(O116-H113)</f>
        <v>177707.85000000033</v>
      </c>
      <c r="I112" t="str">
        <f>'PROJECT INFO'!J16</f>
        <v>(NTE $1,004,711.76)</v>
      </c>
      <c r="L112" s="141"/>
      <c r="M112" s="141" t="s">
        <v>58</v>
      </c>
      <c r="N112" s="165"/>
      <c r="O112" s="145">
        <v>0</v>
      </c>
      <c r="P112" s="165"/>
    </row>
    <row r="113" spans="1:18">
      <c r="A113" s="259" t="s">
        <v>85</v>
      </c>
      <c r="B113" s="190"/>
      <c r="C113" s="190"/>
      <c r="D113" s="207"/>
      <c r="E113" s="344" t="str">
        <f>'PROJECT INFO'!F17</f>
        <v>607-7704-39-7517</v>
      </c>
      <c r="F113" s="344"/>
      <c r="G113" s="217">
        <f>'PROJECT INFO'!C17</f>
        <v>0</v>
      </c>
      <c r="H113" s="347">
        <v>107731</v>
      </c>
      <c r="I113" t="str">
        <f>'PROJECT INFO'!J17</f>
        <v>(NTE $300,000.00)</v>
      </c>
      <c r="L113" s="141"/>
      <c r="M113" s="141" t="str">
        <f>IF(Q113="Y","LESS: 3% RETAINED (MAX $30,000):","LESS: 5% RETAINED:")</f>
        <v>LESS: 5% RETAINED:</v>
      </c>
      <c r="N113" s="165"/>
      <c r="O113" s="145">
        <f>IF(Q113="Y",IF(0.03*O111&lt;30000,ROUND(0.03*O111,2),30000),ROUND(0.05*O111,2))</f>
        <v>91431.18</v>
      </c>
      <c r="P113" s="165"/>
      <c r="Q113" s="191" t="s">
        <v>106</v>
      </c>
      <c r="R113" s="192" t="s">
        <v>107</v>
      </c>
    </row>
    <row r="114" spans="1:18">
      <c r="A114" s="258"/>
      <c r="B114" s="137"/>
      <c r="E114" s="345" t="str">
        <f>'PROJECT INFO'!F18</f>
        <v>510-8461489-7514</v>
      </c>
      <c r="F114" s="345"/>
      <c r="G114" s="217">
        <f>'PROJECT INFO'!C18</f>
        <v>0</v>
      </c>
      <c r="H114" s="347">
        <v>0</v>
      </c>
      <c r="I114" t="str">
        <f>'PROJECT INFO'!J18</f>
        <v>(NTE $360,255.50)</v>
      </c>
      <c r="L114" s="141"/>
      <c r="M114" s="141" t="s">
        <v>59</v>
      </c>
      <c r="N114" s="165"/>
      <c r="O114" s="145">
        <f>O111+O112-O113</f>
        <v>1737192.5075000001</v>
      </c>
      <c r="P114" s="165"/>
    </row>
    <row r="115" spans="1:18">
      <c r="A115" s="259" t="s">
        <v>60</v>
      </c>
      <c r="B115" s="190"/>
      <c r="C115" s="190"/>
      <c r="D115" s="207"/>
      <c r="E115" s="346" t="str">
        <f>'PROJECT INFO'!F19</f>
        <v>520-8542-489-7514</v>
      </c>
      <c r="F115" s="346"/>
      <c r="G115" s="217">
        <f>'PROJECT INFO'!C19</f>
        <v>0</v>
      </c>
      <c r="H115" s="347">
        <v>0</v>
      </c>
      <c r="I115" t="str">
        <f>'PROJECT INFO'!J19</f>
        <v>(NTE $163,034.10)</v>
      </c>
      <c r="L115" s="141"/>
      <c r="M115" s="141" t="s">
        <v>61</v>
      </c>
      <c r="N115" s="165"/>
      <c r="O115" s="145">
        <f>O33</f>
        <v>1451753.6574999997</v>
      </c>
      <c r="P115" s="165"/>
    </row>
    <row r="116" spans="1:18">
      <c r="A116" s="258"/>
      <c r="B116" s="137"/>
      <c r="E116">
        <f>'PROJECT INFO'!F20</f>
        <v>0</v>
      </c>
      <c r="F116"/>
      <c r="G116" s="217">
        <f>'PROJECT INFO'!C20</f>
        <v>0</v>
      </c>
      <c r="H116" s="208"/>
      <c r="I116" t="str">
        <f>'PROJECT INFO'!J20</f>
        <v>(NTE $00.00)</v>
      </c>
      <c r="L116" s="193"/>
      <c r="M116" s="193" t="s">
        <v>62</v>
      </c>
      <c r="N116" s="194"/>
      <c r="O116" s="195">
        <f>O114-O115</f>
        <v>285438.85000000033</v>
      </c>
      <c r="P116" s="165"/>
    </row>
    <row r="117" spans="1:18">
      <c r="A117" s="258"/>
      <c r="B117" s="137"/>
      <c r="C117" s="137"/>
      <c r="D117" s="139"/>
      <c r="E117">
        <f>'PROJECT INFO'!F21</f>
        <v>0</v>
      </c>
      <c r="F117"/>
      <c r="G117" s="217">
        <f>'PROJECT INFO'!C21</f>
        <v>0</v>
      </c>
      <c r="H117" s="208"/>
      <c r="I117" t="str">
        <f>'PROJECT INFO'!J21</f>
        <v>(NTE $00.00)</v>
      </c>
      <c r="K117" s="137"/>
      <c r="L117" s="137"/>
      <c r="M117" s="137"/>
      <c r="N117" s="137"/>
      <c r="O117" s="137"/>
      <c r="P117" s="165"/>
    </row>
    <row r="118" spans="1:18">
      <c r="E118">
        <f>'PROJECT INFO'!F22</f>
        <v>0</v>
      </c>
      <c r="F118"/>
      <c r="G118" s="217">
        <f>'PROJECT INFO'!C22</f>
        <v>0</v>
      </c>
      <c r="H118" s="208"/>
      <c r="I118" t="str">
        <f>'PROJECT INFO'!J22</f>
        <v>(NTE $00.00)</v>
      </c>
    </row>
    <row r="119" spans="1:18">
      <c r="E119">
        <f>'PROJECT INFO'!F23</f>
        <v>0</v>
      </c>
      <c r="F119"/>
      <c r="G119" s="217">
        <f>'PROJECT INFO'!C23</f>
        <v>0</v>
      </c>
      <c r="H119" s="208"/>
      <c r="I119" t="str">
        <f>'PROJECT INFO'!J23</f>
        <v>(NTE $00.00)</v>
      </c>
    </row>
    <row r="120" spans="1:18">
      <c r="D120" s="139"/>
      <c r="E120">
        <f>'PROJECT INFO'!F24</f>
        <v>0</v>
      </c>
      <c r="F120"/>
      <c r="G120" s="217">
        <f>'PROJECT INFO'!C24</f>
        <v>0</v>
      </c>
      <c r="H120" s="208"/>
      <c r="I120" t="str">
        <f>'PROJECT INFO'!J24</f>
        <v>(NTE $00.00)</v>
      </c>
    </row>
    <row r="121" spans="1:18">
      <c r="D121" s="139"/>
      <c r="E121">
        <f>'PROJECT INFO'!F25</f>
        <v>0</v>
      </c>
      <c r="F121"/>
      <c r="G121" s="217">
        <f>'PROJECT INFO'!C25</f>
        <v>0</v>
      </c>
      <c r="H121" s="208"/>
      <c r="I121" t="str">
        <f>'PROJECT INFO'!J25</f>
        <v>(NTE $00.00)</v>
      </c>
    </row>
    <row r="122" spans="1:18">
      <c r="A122" s="261" t="s">
        <v>122</v>
      </c>
      <c r="D122" s="139"/>
      <c r="E122" s="142"/>
      <c r="K122" s="200"/>
      <c r="L122" s="200"/>
      <c r="M122" s="201" t="s">
        <v>108</v>
      </c>
      <c r="N122" s="200"/>
      <c r="O122" s="202">
        <f>O5-O33</f>
        <v>381647.70250000036</v>
      </c>
      <c r="Q122" s="140" t="s">
        <v>121</v>
      </c>
    </row>
    <row r="123" spans="1:18">
      <c r="D123" s="139"/>
      <c r="E123" s="142"/>
      <c r="K123" s="200"/>
      <c r="L123" s="200"/>
      <c r="M123" s="203" t="s">
        <v>109</v>
      </c>
      <c r="N123" s="204"/>
      <c r="O123" s="205">
        <f>O122-O116</f>
        <v>96208.852500000037</v>
      </c>
    </row>
    <row r="124" spans="1:18">
      <c r="E124" s="142"/>
    </row>
    <row r="125" spans="1:18">
      <c r="E125" s="142"/>
    </row>
    <row r="126" spans="1:18">
      <c r="E126" s="142"/>
    </row>
    <row r="127" spans="1:18">
      <c r="E127" s="142"/>
    </row>
    <row r="128" spans="1:18">
      <c r="E128" s="142"/>
      <c r="G128" s="140" t="s">
        <v>294</v>
      </c>
      <c r="H128" s="353">
        <f>SUM(H112:H115)</f>
        <v>285438.85000000033</v>
      </c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E148" s="142"/>
    </row>
    <row r="149" spans="3:5">
      <c r="C149" s="137"/>
      <c r="E149" s="142"/>
    </row>
    <row r="150" spans="3:5">
      <c r="E150" s="142"/>
    </row>
    <row r="151" spans="3:5">
      <c r="E151" s="142"/>
    </row>
  </sheetData>
  <conditionalFormatting sqref="B8:I108">
    <cfRule type="expression" dxfId="11" priority="2">
      <formula>ISERROR(B8)</formula>
    </cfRule>
  </conditionalFormatting>
  <conditionalFormatting sqref="E112:F121 H112:H121">
    <cfRule type="expression" dxfId="10" priority="4">
      <formula>ISTEXT($E112)</formula>
    </cfRule>
  </conditionalFormatting>
  <conditionalFormatting sqref="E112:I121">
    <cfRule type="expression" dxfId="9" priority="1">
      <formula>ISNUMBER($E112)</formula>
    </cfRule>
  </conditionalFormatting>
  <conditionalFormatting sqref="K8:K108">
    <cfRule type="cellIs" dxfId="8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EB1ED-FCFF-44B2-B989-336E0EF15E86}">
  <sheetPr>
    <pageSetUpPr autoPageBreaks="0" fitToPage="1"/>
  </sheetPr>
  <dimension ref="A1:M87"/>
  <sheetViews>
    <sheetView showZeros="0" showOutlineSymbols="0" topLeftCell="A37" zoomScaleNormal="100" zoomScaleSheetLayoutView="100" workbookViewId="0">
      <selection activeCell="I73" sqref="I73"/>
    </sheetView>
  </sheetViews>
  <sheetFormatPr defaultColWidth="9.140625" defaultRowHeight="12.75"/>
  <cols>
    <col min="1" max="1" width="4.7109375" style="23" customWidth="1"/>
    <col min="2" max="2" width="5.7109375" style="23" customWidth="1"/>
    <col min="3" max="3" width="39.85546875" style="23" customWidth="1"/>
    <col min="4" max="4" width="4.7109375" style="23" customWidth="1"/>
    <col min="5" max="5" width="3" style="23" customWidth="1"/>
    <col min="6" max="6" width="12.7109375" style="23" customWidth="1"/>
    <col min="7" max="7" width="3" style="23" customWidth="1"/>
    <col min="8" max="8" width="12.7109375" style="23" customWidth="1"/>
    <col min="9" max="9" width="17.7109375" style="23" customWidth="1"/>
    <col min="10" max="10" width="3.7109375" style="23" customWidth="1"/>
    <col min="11" max="11" width="9.140625" style="23"/>
    <col min="12" max="12" width="11.28515625" style="23" customWidth="1"/>
    <col min="13" max="13" width="21.5703125" style="23" customWidth="1"/>
    <col min="14" max="17" width="9.140625" style="23"/>
    <col min="18" max="23" width="9.140625" style="23" customWidth="1"/>
    <col min="24" max="16384" width="9.140625" style="23"/>
  </cols>
  <sheetData>
    <row r="1" spans="2:13">
      <c r="C1" s="1"/>
      <c r="D1" s="1"/>
      <c r="E1" s="1"/>
      <c r="F1" s="1"/>
      <c r="G1" s="1"/>
      <c r="H1" s="20" t="s">
        <v>46</v>
      </c>
      <c r="I1" s="34">
        <v>45665</v>
      </c>
      <c r="J1" s="2"/>
    </row>
    <row r="3" spans="2:13">
      <c r="E3" s="28" t="s">
        <v>86</v>
      </c>
      <c r="F3" s="22">
        <f>COUNT(F10:F19,H10:H19)+1</f>
        <v>3</v>
      </c>
      <c r="G3" s="24"/>
      <c r="H3" s="3" t="s">
        <v>12</v>
      </c>
      <c r="I3" s="35">
        <f>Purchase_Order</f>
        <v>62893</v>
      </c>
    </row>
    <row r="4" spans="2:13">
      <c r="C4" s="28"/>
      <c r="D4" s="28"/>
      <c r="E4" s="28"/>
      <c r="F4" s="24" t="s">
        <v>300</v>
      </c>
      <c r="G4" s="24"/>
      <c r="H4" s="3" t="s">
        <v>13</v>
      </c>
      <c r="I4" s="21" t="str">
        <f>IF('PROJECT INFO'!B26&gt;1,"VARIOUS",Account_Number0)</f>
        <v>VARIOUS</v>
      </c>
    </row>
    <row r="5" spans="2:13">
      <c r="C5" s="28"/>
      <c r="D5" s="28"/>
      <c r="E5" s="28"/>
      <c r="F5" s="24"/>
      <c r="G5" s="24"/>
      <c r="H5" s="3"/>
    </row>
    <row r="6" spans="2:13" ht="12" customHeight="1">
      <c r="B6" s="374"/>
      <c r="C6" s="375"/>
      <c r="D6" s="375"/>
      <c r="E6" s="375"/>
      <c r="F6" s="375"/>
      <c r="G6" s="375"/>
      <c r="H6" s="375"/>
      <c r="I6" s="376"/>
      <c r="J6" s="29"/>
    </row>
    <row r="7" spans="2:13" ht="15.75">
      <c r="B7" s="377" t="str">
        <f>CONCATENATE(Fiscal_Year," ",Program," (",Location,")")</f>
        <v>2023/24 Seal Coat Street Pavement Improvements (E 16th St; Glendale Ave)</v>
      </c>
      <c r="C7" s="378"/>
      <c r="D7" s="378"/>
      <c r="E7" s="378"/>
      <c r="F7" s="378"/>
      <c r="G7" s="378"/>
      <c r="H7" s="378"/>
      <c r="I7" s="379"/>
      <c r="J7" s="5"/>
    </row>
    <row r="8" spans="2:13">
      <c r="L8" s="61" t="s">
        <v>77</v>
      </c>
      <c r="M8" s="60"/>
    </row>
    <row r="9" spans="2:13">
      <c r="B9" s="23" t="s">
        <v>14</v>
      </c>
      <c r="E9" s="23" t="s">
        <v>15</v>
      </c>
      <c r="I9" s="36"/>
      <c r="L9" s="62" t="s">
        <v>76</v>
      </c>
      <c r="M9" s="24" t="s">
        <v>84</v>
      </c>
    </row>
    <row r="10" spans="2:13" ht="12.95" customHeight="1">
      <c r="B10" s="380"/>
      <c r="C10" s="381"/>
      <c r="E10" s="37">
        <v>1</v>
      </c>
      <c r="F10" s="38">
        <v>2100</v>
      </c>
      <c r="G10" s="31">
        <v>11</v>
      </c>
      <c r="H10" s="38"/>
      <c r="I10" s="6" t="s">
        <v>78</v>
      </c>
      <c r="J10" s="7"/>
      <c r="L10" s="67"/>
      <c r="M10" s="64"/>
    </row>
    <row r="11" spans="2:13" ht="12.95" customHeight="1">
      <c r="B11" s="363" t="str">
        <f>Contractor_Name</f>
        <v>Manatt's Inc</v>
      </c>
      <c r="C11" s="364"/>
      <c r="E11" s="29">
        <v>2</v>
      </c>
      <c r="F11" s="38">
        <v>3300</v>
      </c>
      <c r="G11" s="23">
        <v>12</v>
      </c>
      <c r="H11" s="38"/>
      <c r="I11" s="8" t="s">
        <v>16</v>
      </c>
      <c r="J11" s="7"/>
      <c r="L11" s="68"/>
      <c r="M11" s="65"/>
    </row>
    <row r="12" spans="2:13" ht="12.95" customHeight="1">
      <c r="B12" s="365" t="s">
        <v>17</v>
      </c>
      <c r="C12" s="366"/>
      <c r="E12" s="29">
        <v>3</v>
      </c>
      <c r="F12" s="38"/>
      <c r="G12" s="23">
        <v>13</v>
      </c>
      <c r="H12" s="38"/>
      <c r="I12" s="63">
        <f>SUM(F10:F19,H10:H19)</f>
        <v>5400</v>
      </c>
      <c r="J12" s="9"/>
      <c r="L12" s="68"/>
      <c r="M12" s="65"/>
    </row>
    <row r="13" spans="2:13" ht="12.95" customHeight="1">
      <c r="B13" s="363" t="str">
        <f>Contractor_Address1</f>
        <v>2120 E 13th Street</v>
      </c>
      <c r="C13" s="364"/>
      <c r="E13" s="29">
        <v>4</v>
      </c>
      <c r="F13" s="38"/>
      <c r="G13" s="23">
        <v>14</v>
      </c>
      <c r="H13" s="38"/>
      <c r="I13" s="8" t="s">
        <v>18</v>
      </c>
      <c r="J13" s="7"/>
      <c r="L13" s="68"/>
      <c r="M13" s="65"/>
    </row>
    <row r="14" spans="2:13" ht="12.95" customHeight="1">
      <c r="B14" s="365" t="s">
        <v>19</v>
      </c>
      <c r="C14" s="366"/>
      <c r="E14" s="29">
        <v>5</v>
      </c>
      <c r="F14" s="38"/>
      <c r="G14" s="23">
        <v>15</v>
      </c>
      <c r="H14" s="38"/>
      <c r="I14" s="63">
        <f>Award_Amount</f>
        <v>1828001.36</v>
      </c>
      <c r="J14" s="10"/>
      <c r="L14" s="29"/>
      <c r="M14" s="65"/>
    </row>
    <row r="15" spans="2:13" ht="12.95" customHeight="1">
      <c r="B15" s="363" t="str">
        <f>Contractor_Address2</f>
        <v>Ames, IA 50010</v>
      </c>
      <c r="C15" s="364"/>
      <c r="E15" s="29">
        <v>6</v>
      </c>
      <c r="F15" s="38"/>
      <c r="G15" s="23">
        <v>16</v>
      </c>
      <c r="H15" s="38"/>
      <c r="I15" s="30" t="s">
        <v>21</v>
      </c>
      <c r="J15" s="11"/>
      <c r="L15" s="29"/>
      <c r="M15" s="65"/>
    </row>
    <row r="16" spans="2:13" ht="12.95" customHeight="1">
      <c r="B16" s="365" t="s">
        <v>20</v>
      </c>
      <c r="C16" s="366"/>
      <c r="E16" s="29">
        <v>7</v>
      </c>
      <c r="F16" s="38"/>
      <c r="G16" s="23">
        <v>17</v>
      </c>
      <c r="H16" s="38"/>
      <c r="I16" s="127">
        <f>I73</f>
        <v>14042.929999999993</v>
      </c>
      <c r="J16" s="12"/>
      <c r="L16" s="29"/>
      <c r="M16" s="65"/>
    </row>
    <row r="17" spans="2:13" ht="12.95" customHeight="1">
      <c r="B17" s="367"/>
      <c r="C17" s="368"/>
      <c r="E17" s="29">
        <v>8</v>
      </c>
      <c r="F17" s="38"/>
      <c r="G17" s="23">
        <v>18</v>
      </c>
      <c r="H17" s="38"/>
      <c r="I17" s="55" t="s">
        <v>82</v>
      </c>
      <c r="J17" s="13"/>
      <c r="L17" s="29"/>
      <c r="M17" s="65"/>
    </row>
    <row r="18" spans="2:13">
      <c r="B18" s="369"/>
      <c r="C18" s="370"/>
      <c r="E18" s="29">
        <v>9</v>
      </c>
      <c r="F18" s="38"/>
      <c r="G18" s="23">
        <v>19</v>
      </c>
      <c r="H18" s="38"/>
      <c r="I18" s="8" t="s">
        <v>83</v>
      </c>
      <c r="J18" s="11"/>
      <c r="L18" s="29"/>
      <c r="M18" s="65"/>
    </row>
    <row r="19" spans="2:13">
      <c r="B19" s="39"/>
      <c r="C19" s="39"/>
      <c r="E19" s="29">
        <v>10</v>
      </c>
      <c r="F19" s="38"/>
      <c r="G19" s="23">
        <v>20</v>
      </c>
      <c r="H19" s="40"/>
      <c r="I19" s="63">
        <f>F20+H20+ABS(I73)-M22</f>
        <v>19442.929999999993</v>
      </c>
      <c r="J19" s="11"/>
      <c r="L19" s="29"/>
      <c r="M19" s="65"/>
    </row>
    <row r="20" spans="2:13" ht="13.5" thickBot="1">
      <c r="C20" s="59" t="str">
        <f>IF(((I12+I16)/I14)&lt;0.2,IF(I19&lt;50000,IF(I19&lt;25000,"Staff Approval","Requires City Manager Approval"),"Requires City Council Approval"),"Requires City Council Approval")</f>
        <v>Staff Approval</v>
      </c>
      <c r="E20" s="29"/>
      <c r="F20" s="56">
        <f t="array" ref="F20">SUM(ABS(F10:F19))</f>
        <v>5400</v>
      </c>
      <c r="G20" s="57"/>
      <c r="H20" s="58">
        <f t="array" ref="H20">SUM(ABS(H10:H19))</f>
        <v>0</v>
      </c>
      <c r="I20" s="8" t="s">
        <v>22</v>
      </c>
      <c r="J20" s="7"/>
      <c r="L20" s="29"/>
      <c r="M20" s="65"/>
    </row>
    <row r="21" spans="2:13" ht="14.25" thickTop="1" thickBot="1">
      <c r="E21" s="41"/>
      <c r="F21" s="42"/>
      <c r="G21" s="36"/>
      <c r="H21" s="42"/>
      <c r="I21" s="128">
        <f>I16+I14+I12</f>
        <v>1847444.29</v>
      </c>
      <c r="J21" s="43"/>
      <c r="L21" s="41"/>
      <c r="M21" s="66"/>
    </row>
    <row r="22" spans="2:13" ht="13.5" thickTop="1">
      <c r="B22" s="44" t="s">
        <v>23</v>
      </c>
      <c r="L22" s="69">
        <f>MAX(L10:L21)</f>
        <v>0</v>
      </c>
      <c r="M22" s="70">
        <f>IF(ISERROR(VLOOKUP(L22,L10:M21,2,FALSE)),0,VLOOKUP(L22,L10:M21,2,FALSE))</f>
        <v>0</v>
      </c>
    </row>
    <row r="23" spans="2:13" ht="13.5" thickBot="1">
      <c r="B23" s="45" t="s">
        <v>24</v>
      </c>
      <c r="C23" s="45" t="s">
        <v>25</v>
      </c>
      <c r="D23" s="129" t="s">
        <v>26</v>
      </c>
      <c r="E23" s="130"/>
      <c r="F23" s="45" t="s">
        <v>8</v>
      </c>
      <c r="G23" s="46"/>
      <c r="H23" s="14" t="s">
        <v>7</v>
      </c>
      <c r="I23" s="14" t="s">
        <v>10</v>
      </c>
      <c r="L23" s="108" t="s">
        <v>113</v>
      </c>
    </row>
    <row r="24" spans="2:13" ht="13.5" thickTop="1">
      <c r="B24" s="250" t="s">
        <v>226</v>
      </c>
      <c r="C24" s="25" t="str">
        <f t="shared" ref="C24:C72" si="0">IF(ISERROR(VLOOKUP($B24,BIDTAB,2,FALSE)),0,VLOOKUP($B24,BIDTAB,2,FALSE))</f>
        <v>Topsoil, 8" Depth</v>
      </c>
      <c r="D24" s="131" t="str">
        <f t="shared" ref="D24:D72" si="1">IF(ISERROR(VLOOKUP($B24,BIDTAB,3,FALSE)),0,VLOOKUP($B24,BIDTAB,3,FALSE))</f>
        <v>cy</v>
      </c>
      <c r="E24" s="132"/>
      <c r="F24" s="236">
        <f t="shared" ref="F24:F72" si="2">IF(ISERROR(VLOOKUP($B24,BIDTAB,7,FALSE)),0,VLOOKUP($B24,BIDTAB,7,FALSE))</f>
        <v>28</v>
      </c>
      <c r="G24" s="47"/>
      <c r="H24" s="48">
        <v>39.299999999999997</v>
      </c>
      <c r="I24" s="234">
        <f>ROUND(F24*H24,2)</f>
        <v>1100.4000000000001</v>
      </c>
      <c r="L24" s="23" t="s">
        <v>114</v>
      </c>
    </row>
    <row r="25" spans="2:13">
      <c r="B25" s="250" t="s">
        <v>227</v>
      </c>
      <c r="C25" s="25" t="str">
        <f t="shared" si="0"/>
        <v>Excavation, Class 10, 11" Depth</v>
      </c>
      <c r="D25" s="131" t="str">
        <f t="shared" si="1"/>
        <v>cy</v>
      </c>
      <c r="E25" s="132"/>
      <c r="F25" s="236">
        <f t="shared" si="2"/>
        <v>20</v>
      </c>
      <c r="G25" s="359"/>
      <c r="H25" s="48">
        <v>24</v>
      </c>
      <c r="I25" s="234">
        <f t="shared" ref="I25:I72" si="3">ROUND(F25*H25,2)</f>
        <v>480</v>
      </c>
    </row>
    <row r="26" spans="2:13">
      <c r="B26" s="250" t="s">
        <v>228</v>
      </c>
      <c r="C26" s="25" t="str">
        <f t="shared" si="0"/>
        <v>Subgrade Preparation, 12" Depth</v>
      </c>
      <c r="D26" s="131" t="str">
        <f t="shared" si="1"/>
        <v>sy</v>
      </c>
      <c r="E26" s="132"/>
      <c r="F26" s="236">
        <f t="shared" si="2"/>
        <v>3.25</v>
      </c>
      <c r="G26" s="359"/>
      <c r="H26" s="48">
        <v>-4864</v>
      </c>
      <c r="I26" s="234">
        <f t="shared" si="3"/>
        <v>-15808</v>
      </c>
    </row>
    <row r="27" spans="2:13">
      <c r="B27" s="250" t="s">
        <v>229</v>
      </c>
      <c r="C27" s="25" t="str">
        <f t="shared" si="0"/>
        <v>Special Backfill, 6" Depth</v>
      </c>
      <c r="D27" s="131" t="str">
        <f t="shared" si="1"/>
        <v>sy</v>
      </c>
      <c r="E27" s="132"/>
      <c r="F27" s="236">
        <f t="shared" si="2"/>
        <v>9</v>
      </c>
      <c r="G27" s="359"/>
      <c r="H27" s="48">
        <v>-39.22</v>
      </c>
      <c r="I27" s="234">
        <f t="shared" si="3"/>
        <v>-352.98</v>
      </c>
    </row>
    <row r="28" spans="2:13">
      <c r="B28" s="250" t="s">
        <v>278</v>
      </c>
      <c r="C28" s="25" t="str">
        <f t="shared" si="0"/>
        <v>Sanitary Sewer Gravity Main, Trenched, PVC, 8" dia.</v>
      </c>
      <c r="D28" s="131" t="str">
        <f t="shared" si="1"/>
        <v>lf</v>
      </c>
      <c r="E28" s="132"/>
      <c r="F28" s="236">
        <f t="shared" si="2"/>
        <v>73.5</v>
      </c>
      <c r="G28" s="359"/>
      <c r="H28" s="48">
        <v>-11</v>
      </c>
      <c r="I28" s="234">
        <f t="shared" si="3"/>
        <v>-808.5</v>
      </c>
    </row>
    <row r="29" spans="2:13">
      <c r="B29" s="250" t="s">
        <v>279</v>
      </c>
      <c r="C29" s="25" t="str">
        <f t="shared" si="0"/>
        <v>Sanitary Sewer Service Stub</v>
      </c>
      <c r="D29" s="131" t="str">
        <f t="shared" si="1"/>
        <v>ea</v>
      </c>
      <c r="E29" s="132"/>
      <c r="F29" s="236">
        <f t="shared" si="2"/>
        <v>2100</v>
      </c>
      <c r="G29" s="359"/>
      <c r="H29" s="48">
        <v>5</v>
      </c>
      <c r="I29" s="234">
        <f t="shared" si="3"/>
        <v>10500</v>
      </c>
    </row>
    <row r="30" spans="2:13">
      <c r="B30" s="250" t="s">
        <v>280</v>
      </c>
      <c r="C30" s="25" t="str">
        <f t="shared" si="0"/>
        <v>Removal of Sanitary Sewer, any type or size</v>
      </c>
      <c r="D30" s="131" t="str">
        <f t="shared" si="1"/>
        <v>lf</v>
      </c>
      <c r="E30" s="132"/>
      <c r="F30" s="236">
        <f t="shared" si="2"/>
        <v>21</v>
      </c>
      <c r="G30" s="359"/>
      <c r="H30" s="48">
        <v>-11</v>
      </c>
      <c r="I30" s="234">
        <f t="shared" si="3"/>
        <v>-231</v>
      </c>
    </row>
    <row r="31" spans="2:13">
      <c r="B31" s="250" t="s">
        <v>281</v>
      </c>
      <c r="C31" s="25" t="str">
        <f t="shared" si="0"/>
        <v>Storm Sewer, Trenched, RCP, 15" dia.</v>
      </c>
      <c r="D31" s="131" t="str">
        <f t="shared" si="1"/>
        <v>lf</v>
      </c>
      <c r="E31" s="132"/>
      <c r="F31" s="236">
        <f t="shared" si="2"/>
        <v>73.5</v>
      </c>
      <c r="G31" s="359"/>
      <c r="H31" s="48">
        <v>20</v>
      </c>
      <c r="I31" s="234">
        <f t="shared" si="3"/>
        <v>1470</v>
      </c>
    </row>
    <row r="32" spans="2:13">
      <c r="B32" s="250" t="s">
        <v>282</v>
      </c>
      <c r="C32" s="25" t="str">
        <f t="shared" si="0"/>
        <v>Removal of Storm Sewer, any type or size</v>
      </c>
      <c r="D32" s="131" t="str">
        <f t="shared" si="1"/>
        <v>lf</v>
      </c>
      <c r="E32" s="132"/>
      <c r="F32" s="236">
        <f t="shared" si="2"/>
        <v>21</v>
      </c>
      <c r="G32" s="359"/>
      <c r="H32" s="48">
        <v>20</v>
      </c>
      <c r="I32" s="234">
        <f t="shared" si="3"/>
        <v>420</v>
      </c>
    </row>
    <row r="33" spans="2:12">
      <c r="B33" s="250" t="s">
        <v>283</v>
      </c>
      <c r="C33" s="25" t="str">
        <f t="shared" si="0"/>
        <v>Footing Drain Collector and Fittings, PVC, 6" dia.</v>
      </c>
      <c r="D33" s="131" t="str">
        <f t="shared" si="1"/>
        <v>lf</v>
      </c>
      <c r="E33" s="132"/>
      <c r="F33" s="236">
        <f t="shared" si="2"/>
        <v>25.5</v>
      </c>
      <c r="G33" s="359"/>
      <c r="H33" s="48">
        <v>-3</v>
      </c>
      <c r="I33" s="234">
        <f t="shared" si="3"/>
        <v>-76.5</v>
      </c>
    </row>
    <row r="34" spans="2:12">
      <c r="B34" s="250" t="s">
        <v>284</v>
      </c>
      <c r="C34" s="25" t="str">
        <f t="shared" si="0"/>
        <v>Storm Sewer Service Stub, PVC, 2" dia.</v>
      </c>
      <c r="D34" s="131" t="str">
        <f t="shared" si="1"/>
        <v>ea</v>
      </c>
      <c r="E34" s="132"/>
      <c r="F34" s="236">
        <f t="shared" si="2"/>
        <v>600</v>
      </c>
      <c r="G34" s="359"/>
      <c r="H34" s="48">
        <v>12</v>
      </c>
      <c r="I34" s="234">
        <f t="shared" si="3"/>
        <v>7200</v>
      </c>
    </row>
    <row r="35" spans="2:12">
      <c r="B35" s="250" t="s">
        <v>235</v>
      </c>
      <c r="C35" s="25" t="str">
        <f t="shared" si="0"/>
        <v>Water Main, Trenched, PVC, 8" dia.</v>
      </c>
      <c r="D35" s="131" t="str">
        <f t="shared" si="1"/>
        <v>lf</v>
      </c>
      <c r="E35" s="132"/>
      <c r="F35" s="236">
        <f t="shared" si="2"/>
        <v>42</v>
      </c>
      <c r="G35" s="359"/>
      <c r="H35" s="48">
        <v>5</v>
      </c>
      <c r="I35" s="234">
        <f t="shared" si="3"/>
        <v>210</v>
      </c>
    </row>
    <row r="36" spans="2:12">
      <c r="B36" s="250" t="s">
        <v>236</v>
      </c>
      <c r="C36" s="25" t="str">
        <f t="shared" si="0"/>
        <v>Water Main, Trenched, DIP, 8" dia.</v>
      </c>
      <c r="D36" s="131" t="str">
        <f t="shared" si="1"/>
        <v>lf</v>
      </c>
      <c r="E36" s="132"/>
      <c r="F36" s="236">
        <f t="shared" si="2"/>
        <v>105</v>
      </c>
      <c r="G36" s="359"/>
      <c r="H36" s="48">
        <v>-27</v>
      </c>
      <c r="I36" s="234">
        <f t="shared" si="3"/>
        <v>-2835</v>
      </c>
    </row>
    <row r="37" spans="2:12">
      <c r="B37" s="250" t="s">
        <v>237</v>
      </c>
      <c r="C37" s="25" t="str">
        <f t="shared" si="0"/>
        <v>Water Main, Trenched, DIP, 6" dia.</v>
      </c>
      <c r="D37" s="131" t="str">
        <f t="shared" si="1"/>
        <v>lf</v>
      </c>
      <c r="E37" s="132"/>
      <c r="F37" s="236">
        <f t="shared" si="2"/>
        <v>105</v>
      </c>
      <c r="G37" s="359"/>
      <c r="H37" s="48">
        <v>17.5</v>
      </c>
      <c r="I37" s="234">
        <f t="shared" si="3"/>
        <v>1837.5</v>
      </c>
    </row>
    <row r="38" spans="2:12">
      <c r="B38" s="250" t="s">
        <v>238</v>
      </c>
      <c r="C38" s="25" t="str">
        <f t="shared" si="0"/>
        <v>Water Main, Trenchless, PVC, 8" dia.</v>
      </c>
      <c r="D38" s="131" t="str">
        <f t="shared" si="1"/>
        <v>lf</v>
      </c>
      <c r="E38" s="132"/>
      <c r="F38" s="236">
        <f t="shared" si="2"/>
        <v>136.5</v>
      </c>
      <c r="G38" s="359"/>
      <c r="H38" s="48">
        <v>88</v>
      </c>
      <c r="I38" s="234">
        <f t="shared" si="3"/>
        <v>12012</v>
      </c>
    </row>
    <row r="39" spans="2:12">
      <c r="B39" s="250" t="s">
        <v>234</v>
      </c>
      <c r="C39" s="25" t="str">
        <f t="shared" si="0"/>
        <v>Water Main, Trenchless, DIP, 8" dia.</v>
      </c>
      <c r="D39" s="131" t="str">
        <f t="shared" si="1"/>
        <v>lf</v>
      </c>
      <c r="E39" s="132"/>
      <c r="F39" s="236">
        <f t="shared" si="2"/>
        <v>210</v>
      </c>
      <c r="G39" s="359"/>
      <c r="H39" s="48">
        <v>-75</v>
      </c>
      <c r="I39" s="234">
        <f t="shared" si="3"/>
        <v>-15750</v>
      </c>
    </row>
    <row r="40" spans="2:12">
      <c r="B40" s="250" t="s">
        <v>239</v>
      </c>
      <c r="C40" s="25" t="str">
        <f t="shared" si="0"/>
        <v>Fitting, 8"x6"x8"x6" Cross</v>
      </c>
      <c r="D40" s="131" t="str">
        <f t="shared" si="1"/>
        <v>ea</v>
      </c>
      <c r="E40" s="132"/>
      <c r="F40" s="236">
        <f t="shared" si="2"/>
        <v>1575</v>
      </c>
      <c r="G40" s="359"/>
      <c r="H40" s="48">
        <v>-1</v>
      </c>
      <c r="I40" s="234">
        <f t="shared" si="3"/>
        <v>-1575</v>
      </c>
    </row>
    <row r="41" spans="2:12">
      <c r="B41" s="250" t="s">
        <v>240</v>
      </c>
      <c r="C41" s="25" t="str">
        <f t="shared" si="0"/>
        <v>Fitting, 8"x6"x8" Tee</v>
      </c>
      <c r="D41" s="131" t="str">
        <f t="shared" si="1"/>
        <v>ea</v>
      </c>
      <c r="E41" s="132"/>
      <c r="F41" s="236">
        <f t="shared" si="2"/>
        <v>682.5</v>
      </c>
      <c r="G41" s="359"/>
      <c r="H41" s="48">
        <v>4</v>
      </c>
      <c r="I41" s="234">
        <f t="shared" si="3"/>
        <v>2730</v>
      </c>
    </row>
    <row r="42" spans="2:12">
      <c r="B42" s="250" t="s">
        <v>243</v>
      </c>
      <c r="C42" s="25" t="str">
        <f t="shared" si="0"/>
        <v>Fitting, 6"x6"x6" Tee</v>
      </c>
      <c r="D42" s="131" t="str">
        <f t="shared" si="1"/>
        <v>ea</v>
      </c>
      <c r="E42" s="132"/>
      <c r="F42" s="236">
        <f t="shared" si="2"/>
        <v>525</v>
      </c>
      <c r="G42" s="359"/>
      <c r="H42" s="48">
        <v>-1</v>
      </c>
      <c r="I42" s="234">
        <f t="shared" si="3"/>
        <v>-525</v>
      </c>
    </row>
    <row r="43" spans="2:12">
      <c r="B43" s="250" t="s">
        <v>241</v>
      </c>
      <c r="C43" s="25" t="str">
        <f t="shared" si="0"/>
        <v>Fitting, 45 deg Bend, 8" dia.</v>
      </c>
      <c r="D43" s="131" t="str">
        <f t="shared" si="1"/>
        <v>ea</v>
      </c>
      <c r="E43" s="132"/>
      <c r="F43" s="236">
        <f t="shared" si="2"/>
        <v>420</v>
      </c>
      <c r="G43" s="359"/>
      <c r="H43" s="48">
        <v>-4</v>
      </c>
      <c r="I43" s="234">
        <f t="shared" si="3"/>
        <v>-1680</v>
      </c>
    </row>
    <row r="44" spans="2:12">
      <c r="B44" s="250" t="s">
        <v>286</v>
      </c>
      <c r="C44" s="25" t="str">
        <f t="shared" si="0"/>
        <v>Fitting, 90 deg Bend, 6" dia.</v>
      </c>
      <c r="D44" s="131" t="str">
        <f t="shared" si="1"/>
        <v>ea</v>
      </c>
      <c r="E44" s="132"/>
      <c r="F44" s="236">
        <f t="shared" si="2"/>
        <v>420</v>
      </c>
      <c r="G44" s="359"/>
      <c r="H44" s="48">
        <v>5</v>
      </c>
      <c r="I44" s="234">
        <f t="shared" si="3"/>
        <v>2100</v>
      </c>
    </row>
    <row r="45" spans="2:12">
      <c r="B45" s="250" t="s">
        <v>242</v>
      </c>
      <c r="C45" s="25" t="str">
        <f t="shared" si="0"/>
        <v>Fitting, Pipe Cap, 8" dia</v>
      </c>
      <c r="D45" s="131" t="str">
        <f t="shared" si="1"/>
        <v>ea</v>
      </c>
      <c r="E45" s="132"/>
      <c r="F45" s="236">
        <f t="shared" si="2"/>
        <v>420</v>
      </c>
      <c r="G45" s="359"/>
      <c r="H45" s="48">
        <v>1</v>
      </c>
      <c r="I45" s="234">
        <f t="shared" si="3"/>
        <v>420</v>
      </c>
    </row>
    <row r="46" spans="2:12">
      <c r="B46" s="251" t="s">
        <v>232</v>
      </c>
      <c r="C46" s="25" t="str">
        <f t="shared" si="0"/>
        <v>Water Service Stub, Copper, 1" dia., Type 'C'</v>
      </c>
      <c r="D46" s="131" t="str">
        <f t="shared" si="1"/>
        <v>ea</v>
      </c>
      <c r="E46" s="132"/>
      <c r="F46" s="236">
        <f t="shared" si="2"/>
        <v>4200</v>
      </c>
      <c r="G46" s="49"/>
      <c r="H46" s="48">
        <v>2</v>
      </c>
      <c r="I46" s="234">
        <f t="shared" si="3"/>
        <v>8400</v>
      </c>
      <c r="L46" s="23" t="s">
        <v>118</v>
      </c>
    </row>
    <row r="47" spans="2:12">
      <c r="B47" s="251" t="s">
        <v>244</v>
      </c>
      <c r="C47" s="25" t="str">
        <f t="shared" si="0"/>
        <v>Water Service Stub, Copper, 1" dia., Type 'D'</v>
      </c>
      <c r="D47" s="131" t="str">
        <f t="shared" si="1"/>
        <v>ea</v>
      </c>
      <c r="E47" s="132"/>
      <c r="F47" s="236">
        <f t="shared" si="2"/>
        <v>3150</v>
      </c>
      <c r="G47" s="49"/>
      <c r="H47" s="48">
        <v>2</v>
      </c>
      <c r="I47" s="234">
        <f t="shared" si="3"/>
        <v>6300</v>
      </c>
    </row>
    <row r="48" spans="2:12">
      <c r="B48" s="251" t="s">
        <v>245</v>
      </c>
      <c r="C48" s="25" t="str">
        <f t="shared" si="0"/>
        <v>Valve, Gate, 8" dia.</v>
      </c>
      <c r="D48" s="131" t="str">
        <f t="shared" si="1"/>
        <v>ea</v>
      </c>
      <c r="E48" s="132"/>
      <c r="F48" s="236">
        <f t="shared" si="2"/>
        <v>1890</v>
      </c>
      <c r="G48" s="49"/>
      <c r="H48" s="48">
        <v>1</v>
      </c>
      <c r="I48" s="234">
        <f t="shared" si="3"/>
        <v>1890</v>
      </c>
    </row>
    <row r="49" spans="2:9">
      <c r="B49" s="251" t="s">
        <v>246</v>
      </c>
      <c r="C49" s="25" t="str">
        <f t="shared" si="0"/>
        <v>Fire Hydrant Assembly, 6" barrel</v>
      </c>
      <c r="D49" s="131" t="str">
        <f t="shared" si="1"/>
        <v>ea</v>
      </c>
      <c r="E49" s="132"/>
      <c r="F49" s="236">
        <f t="shared" si="2"/>
        <v>8400</v>
      </c>
      <c r="G49" s="49"/>
      <c r="H49" s="48">
        <v>1</v>
      </c>
      <c r="I49" s="234">
        <f t="shared" si="3"/>
        <v>8400</v>
      </c>
    </row>
    <row r="50" spans="2:9">
      <c r="B50" s="251" t="s">
        <v>247</v>
      </c>
      <c r="C50" s="25" t="str">
        <f t="shared" si="0"/>
        <v>Valve Box Replacment/Adjustment</v>
      </c>
      <c r="D50" s="131" t="str">
        <f t="shared" si="1"/>
        <v>ea</v>
      </c>
      <c r="E50" s="132"/>
      <c r="F50" s="236">
        <f t="shared" si="2"/>
        <v>650</v>
      </c>
      <c r="G50" s="49"/>
      <c r="H50" s="48">
        <v>-8</v>
      </c>
      <c r="I50" s="234">
        <f t="shared" si="3"/>
        <v>-5200</v>
      </c>
    </row>
    <row r="51" spans="2:9">
      <c r="B51" s="251" t="s">
        <v>230</v>
      </c>
      <c r="C51" s="25" t="str">
        <f t="shared" si="0"/>
        <v>Fire Hydrant Assembly Removal</v>
      </c>
      <c r="D51" s="131" t="str">
        <f t="shared" si="1"/>
        <v>ea</v>
      </c>
      <c r="E51" s="132"/>
      <c r="F51" s="236">
        <f t="shared" si="2"/>
        <v>1050</v>
      </c>
      <c r="G51" s="49"/>
      <c r="H51" s="48">
        <v>-1</v>
      </c>
      <c r="I51" s="234">
        <f t="shared" si="3"/>
        <v>-1050</v>
      </c>
    </row>
    <row r="52" spans="2:9">
      <c r="B52" s="251" t="s">
        <v>248</v>
      </c>
      <c r="C52" s="25" t="str">
        <f t="shared" si="0"/>
        <v>Valve Removal</v>
      </c>
      <c r="D52" s="131" t="str">
        <f t="shared" si="1"/>
        <v>ea</v>
      </c>
      <c r="E52" s="132"/>
      <c r="F52" s="236">
        <f t="shared" si="2"/>
        <v>525</v>
      </c>
      <c r="G52" s="49"/>
      <c r="H52" s="48">
        <v>3</v>
      </c>
      <c r="I52" s="234">
        <f t="shared" si="3"/>
        <v>1575</v>
      </c>
    </row>
    <row r="53" spans="2:9">
      <c r="B53" s="251" t="s">
        <v>249</v>
      </c>
      <c r="C53" s="25" t="str">
        <f t="shared" si="0"/>
        <v>Abandon Main, any size</v>
      </c>
      <c r="D53" s="131" t="str">
        <f t="shared" si="1"/>
        <v>ea</v>
      </c>
      <c r="E53" s="132"/>
      <c r="F53" s="236">
        <f t="shared" si="2"/>
        <v>525</v>
      </c>
      <c r="G53" s="49"/>
      <c r="H53" s="48">
        <v>-8</v>
      </c>
      <c r="I53" s="234">
        <f t="shared" si="3"/>
        <v>-4200</v>
      </c>
    </row>
    <row r="54" spans="2:9">
      <c r="B54" s="251" t="s">
        <v>290</v>
      </c>
      <c r="C54" s="25" t="str">
        <f t="shared" si="0"/>
        <v>Intake Type SW-503</v>
      </c>
      <c r="D54" s="131" t="str">
        <f t="shared" si="1"/>
        <v>ea</v>
      </c>
      <c r="E54" s="132"/>
      <c r="F54" s="236">
        <f t="shared" si="2"/>
        <v>7274.85</v>
      </c>
      <c r="G54" s="49"/>
      <c r="H54" s="48">
        <v>2</v>
      </c>
      <c r="I54" s="234">
        <f t="shared" si="3"/>
        <v>14549.7</v>
      </c>
    </row>
    <row r="55" spans="2:9">
      <c r="B55" s="251" t="s">
        <v>258</v>
      </c>
      <c r="C55" s="25" t="str">
        <f t="shared" si="0"/>
        <v>Curb &amp; Gutter, 30" width, 12" thickness</v>
      </c>
      <c r="D55" s="131" t="str">
        <f t="shared" si="1"/>
        <v>lf</v>
      </c>
      <c r="E55" s="132"/>
      <c r="F55" s="236">
        <f t="shared" si="2"/>
        <v>35</v>
      </c>
      <c r="G55" s="49"/>
      <c r="H55" s="48">
        <v>153</v>
      </c>
      <c r="I55" s="234">
        <f t="shared" si="3"/>
        <v>5355</v>
      </c>
    </row>
    <row r="56" spans="2:9">
      <c r="B56" s="251" t="s">
        <v>259</v>
      </c>
      <c r="C56" s="25" t="str">
        <f t="shared" si="0"/>
        <v>Pavement, HMA, Base, 5" depth</v>
      </c>
      <c r="D56" s="131" t="str">
        <f t="shared" si="1"/>
        <v>ton</v>
      </c>
      <c r="E56" s="132"/>
      <c r="F56" s="236">
        <f t="shared" si="2"/>
        <v>103</v>
      </c>
      <c r="G56" s="49"/>
      <c r="H56" s="48">
        <v>-91.8</v>
      </c>
      <c r="I56" s="234">
        <f t="shared" si="3"/>
        <v>-9455.4</v>
      </c>
    </row>
    <row r="57" spans="2:9">
      <c r="B57" s="251" t="s">
        <v>260</v>
      </c>
      <c r="C57" s="25" t="str">
        <f t="shared" si="0"/>
        <v>Pavement, HMA, Surface, 2" depth</v>
      </c>
      <c r="D57" s="131" t="str">
        <f t="shared" si="1"/>
        <v>ton</v>
      </c>
      <c r="E57" s="132"/>
      <c r="F57" s="236">
        <f t="shared" si="2"/>
        <v>108</v>
      </c>
      <c r="G57" s="49"/>
      <c r="H57" s="48">
        <v>-130.34</v>
      </c>
      <c r="I57" s="234">
        <f t="shared" si="3"/>
        <v>-14076.72</v>
      </c>
    </row>
    <row r="58" spans="2:9">
      <c r="B58" s="251" t="s">
        <v>261</v>
      </c>
      <c r="C58" s="25" t="str">
        <f t="shared" si="0"/>
        <v>Removal of Sidewalk/Driveway</v>
      </c>
      <c r="D58" s="131" t="str">
        <f t="shared" si="1"/>
        <v>sy</v>
      </c>
      <c r="E58" s="132"/>
      <c r="F58" s="236">
        <f t="shared" si="2"/>
        <v>10.75</v>
      </c>
      <c r="G58" s="49"/>
      <c r="H58" s="48">
        <v>-1.0900000000000001</v>
      </c>
      <c r="I58" s="234">
        <f t="shared" si="3"/>
        <v>-11.72</v>
      </c>
    </row>
    <row r="59" spans="2:9">
      <c r="B59" s="251" t="s">
        <v>262</v>
      </c>
      <c r="C59" s="25" t="str">
        <f t="shared" si="0"/>
        <v>Sidewalk/Drive, PCC, 6"/4" depth</v>
      </c>
      <c r="D59" s="131" t="str">
        <f t="shared" si="1"/>
        <v>sy</v>
      </c>
      <c r="E59" s="132"/>
      <c r="F59" s="236">
        <f t="shared" si="2"/>
        <v>94</v>
      </c>
      <c r="G59" s="49"/>
      <c r="H59" s="48">
        <v>31.2</v>
      </c>
      <c r="I59" s="234">
        <f t="shared" si="3"/>
        <v>2932.8</v>
      </c>
    </row>
    <row r="60" spans="2:9">
      <c r="B60" s="251" t="s">
        <v>263</v>
      </c>
      <c r="C60" s="25" t="str">
        <f t="shared" si="0"/>
        <v>Detectable Warning</v>
      </c>
      <c r="D60" s="131" t="str">
        <f t="shared" si="1"/>
        <v>sf</v>
      </c>
      <c r="E60" s="132"/>
      <c r="F60" s="236">
        <f t="shared" si="2"/>
        <v>45</v>
      </c>
      <c r="G60" s="49"/>
      <c r="H60" s="48">
        <v>25.2</v>
      </c>
      <c r="I60" s="234">
        <f t="shared" si="3"/>
        <v>1134</v>
      </c>
    </row>
    <row r="61" spans="2:9">
      <c r="B61" s="251" t="s">
        <v>264</v>
      </c>
      <c r="C61" s="25" t="str">
        <f t="shared" si="0"/>
        <v>Full Depth Patch, PCC</v>
      </c>
      <c r="D61" s="131" t="str">
        <f t="shared" si="1"/>
        <v>sy</v>
      </c>
      <c r="E61" s="132"/>
      <c r="F61" s="236">
        <f t="shared" si="2"/>
        <v>112</v>
      </c>
      <c r="G61" s="49"/>
      <c r="H61" s="48">
        <v>0.5</v>
      </c>
      <c r="I61" s="234">
        <f t="shared" si="3"/>
        <v>56</v>
      </c>
    </row>
    <row r="62" spans="2:9">
      <c r="B62" s="251" t="s">
        <v>265</v>
      </c>
      <c r="C62" s="25" t="str">
        <f t="shared" si="0"/>
        <v>Milling</v>
      </c>
      <c r="D62" s="131" t="str">
        <f t="shared" si="1"/>
        <v>sy</v>
      </c>
      <c r="E62" s="132"/>
      <c r="F62" s="236">
        <f t="shared" si="2"/>
        <v>78</v>
      </c>
      <c r="G62" s="49"/>
      <c r="H62" s="48">
        <v>-52.7</v>
      </c>
      <c r="I62" s="234">
        <f t="shared" si="3"/>
        <v>-4110.6000000000004</v>
      </c>
    </row>
    <row r="63" spans="2:9">
      <c r="B63" s="251" t="s">
        <v>266</v>
      </c>
      <c r="C63" s="25" t="str">
        <f t="shared" si="0"/>
        <v>Pavement Removal</v>
      </c>
      <c r="D63" s="131" t="str">
        <f t="shared" si="1"/>
        <v>sy</v>
      </c>
      <c r="E63" s="132"/>
      <c r="F63" s="236">
        <f t="shared" si="2"/>
        <v>5.5</v>
      </c>
      <c r="G63" s="49"/>
      <c r="H63" s="48">
        <v>-73.099999999999994</v>
      </c>
      <c r="I63" s="234">
        <f t="shared" si="3"/>
        <v>-402.05</v>
      </c>
    </row>
    <row r="64" spans="2:9">
      <c r="B64" s="251" t="s">
        <v>288</v>
      </c>
      <c r="C64" s="25" t="str">
        <f t="shared" si="0"/>
        <v>Curb &amp; Gutter Removal</v>
      </c>
      <c r="D64" s="131" t="str">
        <f t="shared" si="1"/>
        <v>lf</v>
      </c>
      <c r="E64" s="132"/>
      <c r="F64" s="236">
        <f t="shared" si="2"/>
        <v>6.25</v>
      </c>
      <c r="G64" s="49"/>
      <c r="H64" s="48">
        <v>1</v>
      </c>
      <c r="I64" s="234">
        <f t="shared" si="3"/>
        <v>6.25</v>
      </c>
    </row>
    <row r="65" spans="1:13">
      <c r="B65" s="251" t="s">
        <v>267</v>
      </c>
      <c r="C65" s="25" t="str">
        <f t="shared" si="0"/>
        <v>Engineering Fabric/Geogrid Fabric</v>
      </c>
      <c r="D65" s="131" t="str">
        <f t="shared" si="1"/>
        <v>sy</v>
      </c>
      <c r="E65" s="132"/>
      <c r="F65" s="236">
        <f t="shared" si="2"/>
        <v>3.5</v>
      </c>
      <c r="G65" s="49"/>
      <c r="H65" s="48">
        <v>-98.6</v>
      </c>
      <c r="I65" s="234">
        <f t="shared" si="3"/>
        <v>-345.1</v>
      </c>
    </row>
    <row r="66" spans="1:13">
      <c r="B66" s="251" t="s">
        <v>269</v>
      </c>
      <c r="C66" s="25" t="str">
        <f t="shared" si="0"/>
        <v>Wattles</v>
      </c>
      <c r="D66" s="131" t="str">
        <f t="shared" si="1"/>
        <v>lf</v>
      </c>
      <c r="E66" s="132"/>
      <c r="F66" s="236">
        <f t="shared" si="2"/>
        <v>3.7</v>
      </c>
      <c r="G66" s="49"/>
      <c r="H66" s="48">
        <v>-426</v>
      </c>
      <c r="I66" s="234">
        <f t="shared" si="3"/>
        <v>-1576.2</v>
      </c>
    </row>
    <row r="67" spans="1:13">
      <c r="B67" s="251" t="s">
        <v>270</v>
      </c>
      <c r="C67" s="25" t="str">
        <f t="shared" si="0"/>
        <v>Inlet Protection Device</v>
      </c>
      <c r="D67" s="131" t="str">
        <f t="shared" si="1"/>
        <v>ea</v>
      </c>
      <c r="E67" s="132"/>
      <c r="F67" s="236">
        <f t="shared" si="2"/>
        <v>210</v>
      </c>
      <c r="G67" s="49"/>
      <c r="H67" s="48">
        <v>-8</v>
      </c>
      <c r="I67" s="234">
        <f t="shared" si="3"/>
        <v>-1680</v>
      </c>
    </row>
    <row r="68" spans="1:13">
      <c r="B68" s="251" t="s">
        <v>272</v>
      </c>
      <c r="C68" s="25" t="str">
        <f t="shared" si="0"/>
        <v>Modular Block Retaining Wall</v>
      </c>
      <c r="D68" s="131" t="str">
        <f t="shared" si="1"/>
        <v>sf</v>
      </c>
      <c r="E68" s="132"/>
      <c r="F68" s="236">
        <f t="shared" si="2"/>
        <v>70.349999999999994</v>
      </c>
      <c r="G68" s="49"/>
      <c r="H68" s="48">
        <v>83</v>
      </c>
      <c r="I68" s="234">
        <f t="shared" si="3"/>
        <v>5839.05</v>
      </c>
    </row>
    <row r="69" spans="1:13">
      <c r="B69" s="251" t="s">
        <v>274</v>
      </c>
      <c r="C69" s="25" t="str">
        <f t="shared" si="0"/>
        <v>Pedestrian Facility Construction Survey &amp; Staking</v>
      </c>
      <c r="D69" s="131" t="str">
        <f t="shared" si="1"/>
        <v>ea</v>
      </c>
      <c r="E69" s="132"/>
      <c r="F69" s="236">
        <f t="shared" si="2"/>
        <v>275</v>
      </c>
      <c r="G69" s="49"/>
      <c r="H69" s="48">
        <v>3</v>
      </c>
      <c r="I69" s="234">
        <f t="shared" si="3"/>
        <v>825</v>
      </c>
    </row>
    <row r="70" spans="1:13">
      <c r="B70" s="251" t="s">
        <v>277</v>
      </c>
      <c r="C70" s="25" t="str">
        <f t="shared" si="0"/>
        <v>Concrete Washout</v>
      </c>
      <c r="D70" s="131" t="str">
        <f t="shared" si="1"/>
        <v>ls</v>
      </c>
      <c r="E70" s="132"/>
      <c r="F70" s="236">
        <f t="shared" si="2"/>
        <v>3900</v>
      </c>
      <c r="G70" s="49"/>
      <c r="H70" s="48">
        <v>-0.5</v>
      </c>
      <c r="I70" s="234">
        <f t="shared" si="3"/>
        <v>-1950</v>
      </c>
    </row>
    <row r="71" spans="1:13">
      <c r="B71" s="251"/>
      <c r="C71" s="25">
        <f t="shared" si="0"/>
        <v>0</v>
      </c>
      <c r="D71" s="131">
        <f t="shared" si="1"/>
        <v>0</v>
      </c>
      <c r="E71" s="132"/>
      <c r="F71" s="236">
        <f t="shared" si="2"/>
        <v>0</v>
      </c>
      <c r="G71" s="49"/>
      <c r="H71" s="48"/>
      <c r="I71" s="234">
        <f t="shared" si="3"/>
        <v>0</v>
      </c>
    </row>
    <row r="72" spans="1:13">
      <c r="B72" s="250"/>
      <c r="C72" s="25">
        <f t="shared" si="0"/>
        <v>0</v>
      </c>
      <c r="D72" s="131">
        <f t="shared" si="1"/>
        <v>0</v>
      </c>
      <c r="E72" s="132"/>
      <c r="F72" s="236">
        <f t="shared" si="2"/>
        <v>0</v>
      </c>
      <c r="G72" s="49"/>
      <c r="H72" s="48"/>
      <c r="I72" s="234">
        <f t="shared" si="3"/>
        <v>0</v>
      </c>
    </row>
    <row r="73" spans="1:13" ht="12.75" customHeight="1" thickBot="1">
      <c r="D73" s="31"/>
      <c r="E73" s="31"/>
      <c r="F73" s="32" t="s">
        <v>27</v>
      </c>
      <c r="G73" s="33"/>
      <c r="H73" s="26" t="s">
        <v>81</v>
      </c>
      <c r="I73" s="235">
        <f>SUM(I24:I72)</f>
        <v>14042.929999999993</v>
      </c>
      <c r="L73" s="54"/>
      <c r="M73" s="27"/>
    </row>
    <row r="74" spans="1:13" ht="14.25" customHeight="1" thickTop="1">
      <c r="C74" s="15"/>
      <c r="D74" s="15"/>
      <c r="E74" s="15"/>
      <c r="F74" s="15"/>
      <c r="G74" s="15"/>
      <c r="H74" s="20"/>
    </row>
    <row r="75" spans="1:13" ht="13.5" customHeight="1">
      <c r="A75" s="371" t="s">
        <v>28</v>
      </c>
      <c r="B75" s="371"/>
      <c r="C75" s="371"/>
      <c r="D75" s="371"/>
      <c r="E75" s="371"/>
      <c r="F75" s="371"/>
      <c r="G75" s="371"/>
      <c r="H75" s="371"/>
      <c r="I75" s="371"/>
      <c r="J75" s="50"/>
    </row>
    <row r="76" spans="1:13" ht="14.1" customHeight="1">
      <c r="A76" s="372" t="s">
        <v>29</v>
      </c>
      <c r="B76" s="372"/>
      <c r="C76" s="372"/>
      <c r="D76" s="372"/>
      <c r="E76" s="372"/>
      <c r="F76" s="372"/>
      <c r="G76" s="372"/>
      <c r="H76" s="372"/>
      <c r="I76" s="51" t="s">
        <v>11</v>
      </c>
    </row>
    <row r="77" spans="1:13" ht="13.5" customHeight="1">
      <c r="A77" s="372" t="s">
        <v>30</v>
      </c>
      <c r="B77" s="372"/>
      <c r="C77" s="372"/>
      <c r="D77" s="372"/>
      <c r="E77" s="372"/>
      <c r="F77" s="372"/>
      <c r="G77" s="372"/>
      <c r="H77" s="372"/>
      <c r="I77" s="372"/>
      <c r="J77" s="52"/>
    </row>
    <row r="78" spans="1:13" ht="9" customHeight="1">
      <c r="B78" s="52"/>
      <c r="C78" s="52"/>
      <c r="D78" s="52"/>
      <c r="E78" s="52"/>
      <c r="F78" s="52"/>
      <c r="G78" s="52"/>
      <c r="H78" s="52"/>
      <c r="I78" s="52"/>
      <c r="J78" s="52"/>
    </row>
    <row r="79" spans="1:13" ht="12" customHeight="1">
      <c r="B79" s="53" t="s">
        <v>31</v>
      </c>
      <c r="C79" s="15"/>
      <c r="F79" s="53" t="s">
        <v>32</v>
      </c>
      <c r="G79" s="15"/>
      <c r="H79" s="15"/>
      <c r="I79" s="15"/>
    </row>
    <row r="80" spans="1:13" ht="18.75" customHeight="1">
      <c r="B80" s="36"/>
      <c r="C80" s="36"/>
      <c r="F80" s="362"/>
      <c r="G80" s="362"/>
      <c r="H80" s="362"/>
      <c r="I80" s="362"/>
    </row>
    <row r="81" spans="2:9" ht="12" customHeight="1">
      <c r="B81" s="16" t="s">
        <v>33</v>
      </c>
      <c r="F81" s="16" t="s">
        <v>80</v>
      </c>
      <c r="I81" s="16" t="s">
        <v>46</v>
      </c>
    </row>
    <row r="82" spans="2:9" ht="12" customHeight="1">
      <c r="B82" s="373" t="s">
        <v>34</v>
      </c>
      <c r="C82" s="373"/>
      <c r="D82" s="373"/>
      <c r="E82" s="373"/>
      <c r="F82" s="373"/>
      <c r="G82" s="373"/>
      <c r="H82" s="373"/>
      <c r="I82" s="373"/>
    </row>
    <row r="83" spans="2:9" ht="18.75" customHeight="1">
      <c r="B83" s="36"/>
      <c r="C83" s="36"/>
      <c r="F83" s="362"/>
      <c r="G83" s="362"/>
      <c r="H83" s="362"/>
      <c r="I83" s="362"/>
    </row>
    <row r="84" spans="2:9" ht="13.5" customHeight="1">
      <c r="B84" s="16" t="s">
        <v>35</v>
      </c>
      <c r="F84" s="16" t="s">
        <v>79</v>
      </c>
      <c r="I84" s="16" t="s">
        <v>46</v>
      </c>
    </row>
    <row r="85" spans="2:9" ht="9.75" customHeight="1">
      <c r="C85" s="17" t="s">
        <v>36</v>
      </c>
      <c r="D85" s="17">
        <v>1</v>
      </c>
      <c r="E85" s="18" t="s">
        <v>37</v>
      </c>
      <c r="F85" s="19">
        <v>1</v>
      </c>
    </row>
    <row r="86" spans="2:9">
      <c r="C86" s="19"/>
    </row>
    <row r="87" spans="2:9" ht="15" customHeight="1">
      <c r="D87" s="17"/>
      <c r="E87" s="18"/>
      <c r="F87" s="19"/>
    </row>
  </sheetData>
  <mergeCells count="17">
    <mergeCell ref="A75:I75"/>
    <mergeCell ref="B6:I6"/>
    <mergeCell ref="B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A76:H76"/>
    <mergeCell ref="A77:I77"/>
    <mergeCell ref="F80:I80"/>
    <mergeCell ref="B82:I82"/>
    <mergeCell ref="F83:I83"/>
  </mergeCells>
  <phoneticPr fontId="33" type="noConversion"/>
  <dataValidations count="2">
    <dataValidation type="list" allowBlank="1" showInputMessage="1" showErrorMessage="1" sqref="I76" xr:uid="{B0C80700-F97E-4AAF-B5C4-144CE731CA4B}">
      <formula1>$L$1:$L$13</formula1>
    </dataValidation>
    <dataValidation type="list" operator="greaterThanOrEqual" allowBlank="1" showInputMessage="1" showErrorMessage="1" sqref="F87 F85" xr:uid="{C1C6F2D4-AD92-456C-9DE2-7952FAE71EA3}">
      <formula1>#REF!</formula1>
    </dataValidation>
  </dataValidations>
  <printOptions horizontalCentered="1"/>
  <pageMargins left="0.25" right="0.25" top="0.25" bottom="0.25" header="0.15" footer="0.15"/>
  <pageSetup scale="96" fitToHeight="0" orientation="portrait" r:id="rId1"/>
  <headerFooter alignWithMargins="0">
    <oddFooter>&amp;LCC: Project Engineer, PW Mgmt. Asst., Finance, Contractor&amp;R&amp;D | &amp;T</oddFooter>
  </headerFooter>
  <rowBreaks count="1" manualBreakCount="1">
    <brk id="86" max="10" man="1"/>
  </row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D3F9C-2728-404A-B018-1A8270439BAF}">
  <sheetPr>
    <pageSetUpPr autoPageBreaks="0" fitToPage="1"/>
  </sheetPr>
  <dimension ref="A1:S151"/>
  <sheetViews>
    <sheetView showOutlineSymbols="0" topLeftCell="E16" zoomScale="70" zoomScaleNormal="70" zoomScaleSheetLayoutView="100" workbookViewId="0">
      <selection activeCell="C125" sqref="C125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1" width="13.7109375" style="140" customWidth="1"/>
    <col min="12" max="12" width="14.14062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8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45665</v>
      </c>
      <c r="I5" s="147"/>
      <c r="J5" s="148"/>
      <c r="L5" s="141"/>
      <c r="M5" s="141" t="s">
        <v>47</v>
      </c>
      <c r="N5" s="139"/>
      <c r="O5" s="145">
        <f>SUM(O4+O19)</f>
        <v>1847444.29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3" si="0">VLOOKUP($A8,BIDTAB,2,FALSE)</f>
        <v>#N/A</v>
      </c>
      <c r="C8" s="137"/>
      <c r="D8" s="24" t="e">
        <f t="shared" ref="D8:D73" si="1">VLOOKUP($A8,BIDTAB,3,FALSE)</f>
        <v>#N/A</v>
      </c>
      <c r="E8" s="231" t="e">
        <f t="shared" ref="E8:E73" si="2">VLOOKUP($A8,BIDTAB,7,FALSE)</f>
        <v>#N/A</v>
      </c>
      <c r="F8" s="223" t="e">
        <f t="shared" ref="F8:F73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3" si="4">IF(ISERROR(F8*E8),0,F8*E8)</f>
        <v>0</v>
      </c>
      <c r="K8" s="162">
        <f t="shared" ref="K8:K73" si="5">IF(ISERROR(G8*E8),0,G8*E8)</f>
        <v>0</v>
      </c>
      <c r="L8" s="162">
        <f t="shared" ref="L8:L73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>
        <f>L8-'PAY EST 3'!L8</f>
        <v>0</v>
      </c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>
        <v>39.299999999999997</v>
      </c>
      <c r="H9" s="226">
        <v>1030.5999999999999</v>
      </c>
      <c r="I9" s="167">
        <f t="shared" ref="I9:I74" si="7">IF(ISBLANK(G9),F9,F9+G9)-H9</f>
        <v>0</v>
      </c>
      <c r="J9" s="162">
        <f t="shared" si="4"/>
        <v>27756.399999999998</v>
      </c>
      <c r="K9" s="162">
        <f t="shared" si="5"/>
        <v>1100.3999999999999</v>
      </c>
      <c r="L9" s="162">
        <f t="shared" si="6"/>
        <v>28856.799999999996</v>
      </c>
      <c r="M9" s="162">
        <f t="shared" ref="M9:M74" si="8">SUM(J9:K9)-L9</f>
        <v>0</v>
      </c>
      <c r="N9" s="168"/>
      <c r="O9" s="169"/>
      <c r="P9" s="165"/>
      <c r="R9" s="162">
        <f>L9-'PAY EST 3'!L9</f>
        <v>28856.799999999996</v>
      </c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>
        <v>24</v>
      </c>
      <c r="H10" s="226">
        <v>3077.5</v>
      </c>
      <c r="I10" s="167">
        <f t="shared" si="7"/>
        <v>0</v>
      </c>
      <c r="J10" s="162">
        <f t="shared" si="4"/>
        <v>61070</v>
      </c>
      <c r="K10" s="162">
        <f t="shared" si="5"/>
        <v>480</v>
      </c>
      <c r="L10" s="162">
        <f t="shared" si="6"/>
        <v>61550</v>
      </c>
      <c r="M10" s="162">
        <f t="shared" si="8"/>
        <v>0</v>
      </c>
      <c r="N10" s="170">
        <v>1</v>
      </c>
      <c r="O10" s="352">
        <v>2100</v>
      </c>
      <c r="P10" s="165"/>
      <c r="R10" s="162">
        <f>L10-'PAY EST 3'!L10</f>
        <v>61550</v>
      </c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>
        <v>-4864</v>
      </c>
      <c r="H11" s="226">
        <v>7126</v>
      </c>
      <c r="I11" s="167">
        <f t="shared" si="7"/>
        <v>0</v>
      </c>
      <c r="J11" s="162">
        <f t="shared" si="4"/>
        <v>38967.5</v>
      </c>
      <c r="K11" s="162">
        <f t="shared" si="5"/>
        <v>-15808</v>
      </c>
      <c r="L11" s="162">
        <f t="shared" si="6"/>
        <v>23159.5</v>
      </c>
      <c r="M11" s="162">
        <f t="shared" si="8"/>
        <v>0</v>
      </c>
      <c r="N11" s="171">
        <v>2</v>
      </c>
      <c r="O11" s="238">
        <v>3300</v>
      </c>
      <c r="P11" s="165"/>
      <c r="R11" s="162">
        <f>L11-'PAY EST 3'!L11</f>
        <v>23159.5</v>
      </c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>
        <v>-39.22</v>
      </c>
      <c r="H12" s="226">
        <v>11950.78</v>
      </c>
      <c r="I12" s="167">
        <f t="shared" si="7"/>
        <v>0</v>
      </c>
      <c r="J12" s="162">
        <f t="shared" si="4"/>
        <v>107910</v>
      </c>
      <c r="K12" s="162">
        <f t="shared" si="5"/>
        <v>-352.98</v>
      </c>
      <c r="L12" s="162">
        <f t="shared" si="6"/>
        <v>107557.02</v>
      </c>
      <c r="M12" s="162">
        <f t="shared" si="8"/>
        <v>0</v>
      </c>
      <c r="N12" s="171">
        <v>3</v>
      </c>
      <c r="O12" s="238">
        <v>14042.93</v>
      </c>
      <c r="P12" s="165"/>
      <c r="R12" s="162">
        <f>L12-'PAY EST 3'!L12</f>
        <v>107557.02</v>
      </c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  <c r="R13" s="162">
        <f>L13-'PAY EST 3'!L13</f>
        <v>0</v>
      </c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>
        <v>-11</v>
      </c>
      <c r="H14" s="336">
        <v>567</v>
      </c>
      <c r="I14" s="305">
        <f t="shared" si="7"/>
        <v>0</v>
      </c>
      <c r="J14" s="306">
        <f t="shared" si="4"/>
        <v>42483</v>
      </c>
      <c r="K14" s="306">
        <f t="shared" si="5"/>
        <v>-808.5</v>
      </c>
      <c r="L14" s="306">
        <f t="shared" si="6"/>
        <v>41674.5</v>
      </c>
      <c r="M14" s="306">
        <f t="shared" si="8"/>
        <v>0</v>
      </c>
      <c r="N14" s="171">
        <v>5</v>
      </c>
      <c r="O14" s="238"/>
      <c r="P14" s="165"/>
      <c r="R14" s="306">
        <f>L14-'PAY EST 3'!L14</f>
        <v>22344</v>
      </c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>
        <v>5</v>
      </c>
      <c r="H15" s="336">
        <v>17</v>
      </c>
      <c r="I15" s="305">
        <f t="shared" si="7"/>
        <v>0</v>
      </c>
      <c r="J15" s="306">
        <f t="shared" si="4"/>
        <v>25200</v>
      </c>
      <c r="K15" s="306">
        <f t="shared" si="5"/>
        <v>10500</v>
      </c>
      <c r="L15" s="306">
        <f t="shared" si="6"/>
        <v>35700</v>
      </c>
      <c r="M15" s="306">
        <f t="shared" si="8"/>
        <v>0</v>
      </c>
      <c r="N15" s="171">
        <v>6</v>
      </c>
      <c r="O15" s="238"/>
      <c r="P15" s="165"/>
      <c r="R15" s="306">
        <f>L15-'PAY EST 3'!L15</f>
        <v>14700</v>
      </c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>
        <v>-11</v>
      </c>
      <c r="H16" s="336">
        <v>567</v>
      </c>
      <c r="I16" s="305">
        <f t="shared" si="7"/>
        <v>0</v>
      </c>
      <c r="J16" s="306">
        <f t="shared" si="4"/>
        <v>12138</v>
      </c>
      <c r="K16" s="306">
        <f t="shared" si="5"/>
        <v>-231</v>
      </c>
      <c r="L16" s="306">
        <f t="shared" si="6"/>
        <v>11907</v>
      </c>
      <c r="M16" s="306">
        <f t="shared" si="8"/>
        <v>0</v>
      </c>
      <c r="N16" s="171">
        <v>7</v>
      </c>
      <c r="O16" s="238"/>
      <c r="P16" s="165"/>
      <c r="R16" s="306">
        <f>L16-'PAY EST 3'!L16</f>
        <v>6384</v>
      </c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>
        <v>20</v>
      </c>
      <c r="H17" s="226">
        <v>546</v>
      </c>
      <c r="I17" s="167">
        <f t="shared" si="7"/>
        <v>0</v>
      </c>
      <c r="J17" s="162">
        <f t="shared" si="4"/>
        <v>38661</v>
      </c>
      <c r="K17" s="162">
        <f t="shared" si="5"/>
        <v>1470</v>
      </c>
      <c r="L17" s="162">
        <f t="shared" si="6"/>
        <v>40131</v>
      </c>
      <c r="M17" s="162">
        <f t="shared" si="8"/>
        <v>0</v>
      </c>
      <c r="N17" s="171">
        <v>8</v>
      </c>
      <c r="O17" s="238"/>
      <c r="P17" s="165"/>
      <c r="R17" s="162">
        <f>L17-'PAY EST 3'!L17</f>
        <v>9849</v>
      </c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>
        <v>20</v>
      </c>
      <c r="H18" s="226">
        <v>546</v>
      </c>
      <c r="I18" s="167">
        <f t="shared" si="7"/>
        <v>0</v>
      </c>
      <c r="J18" s="162">
        <f t="shared" si="4"/>
        <v>11046</v>
      </c>
      <c r="K18" s="162">
        <f t="shared" si="5"/>
        <v>420</v>
      </c>
      <c r="L18" s="162">
        <f t="shared" si="6"/>
        <v>11466</v>
      </c>
      <c r="M18" s="162">
        <f t="shared" si="8"/>
        <v>0</v>
      </c>
      <c r="N18" s="172"/>
      <c r="O18" s="239" t="s">
        <v>10</v>
      </c>
      <c r="P18" s="165"/>
      <c r="R18" s="162">
        <f>L18-'PAY EST 3'!L18</f>
        <v>2814</v>
      </c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>
        <v>-3</v>
      </c>
      <c r="H19" s="226">
        <v>197</v>
      </c>
      <c r="I19" s="167">
        <f t="shared" si="7"/>
        <v>0</v>
      </c>
      <c r="J19" s="162">
        <f t="shared" si="4"/>
        <v>5100</v>
      </c>
      <c r="K19" s="162">
        <f t="shared" si="5"/>
        <v>-76.5</v>
      </c>
      <c r="L19" s="162">
        <f t="shared" si="6"/>
        <v>5023.5</v>
      </c>
      <c r="M19" s="162">
        <f t="shared" si="8"/>
        <v>0</v>
      </c>
      <c r="N19" s="173"/>
      <c r="O19" s="240">
        <f>SUM(O10:O17)</f>
        <v>19442.93</v>
      </c>
      <c r="P19" s="165"/>
      <c r="R19" s="162">
        <f>L19-'PAY EST 3'!L19</f>
        <v>5023.5</v>
      </c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1</v>
      </c>
      <c r="I20" s="167">
        <f t="shared" si="7"/>
        <v>0</v>
      </c>
      <c r="J20" s="162">
        <f t="shared" si="4"/>
        <v>850</v>
      </c>
      <c r="K20" s="162">
        <f t="shared" si="5"/>
        <v>0</v>
      </c>
      <c r="L20" s="162">
        <f t="shared" si="6"/>
        <v>850</v>
      </c>
      <c r="M20" s="162">
        <f t="shared" si="8"/>
        <v>0</v>
      </c>
      <c r="N20" s="174"/>
      <c r="O20" s="241"/>
      <c r="P20" s="165"/>
      <c r="R20" s="162">
        <f>L20-'PAY EST 3'!L20</f>
        <v>850</v>
      </c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>
        <v>12</v>
      </c>
      <c r="H21" s="226">
        <v>13</v>
      </c>
      <c r="I21" s="167">
        <f t="shared" si="7"/>
        <v>0</v>
      </c>
      <c r="J21" s="162">
        <f t="shared" si="4"/>
        <v>600</v>
      </c>
      <c r="K21" s="162">
        <f t="shared" si="5"/>
        <v>7200</v>
      </c>
      <c r="L21" s="162">
        <f t="shared" si="6"/>
        <v>7800</v>
      </c>
      <c r="M21" s="162">
        <f t="shared" si="8"/>
        <v>0</v>
      </c>
      <c r="N21" s="175" t="s">
        <v>54</v>
      </c>
      <c r="O21" s="242"/>
      <c r="P21" s="165"/>
      <c r="R21" s="162">
        <f>L21-'PAY EST 3'!L21</f>
        <v>3600</v>
      </c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/>
      <c r="G22" s="227">
        <v>1</v>
      </c>
      <c r="H22" s="227">
        <v>1</v>
      </c>
      <c r="I22" s="167">
        <f>IF(ISBLANK(G22),F22,F22+G22)-H22</f>
        <v>0</v>
      </c>
      <c r="J22" s="162">
        <f>IF(ISERROR(F22*E22),0,F22*E22)</f>
        <v>0</v>
      </c>
      <c r="K22" s="162">
        <f>IF(ISERROR(G22*E22),0,G22*E22)</f>
        <v>2100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>
        <f>L22-'PAY EST 3'!L22</f>
        <v>0</v>
      </c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>
        <f>L23-'PAY EST 3'!L23</f>
        <v>0</v>
      </c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>
        <v>5</v>
      </c>
      <c r="H24" s="294">
        <v>70</v>
      </c>
      <c r="I24" s="295">
        <f t="shared" si="7"/>
        <v>0</v>
      </c>
      <c r="J24" s="296">
        <f t="shared" si="4"/>
        <v>2730</v>
      </c>
      <c r="K24" s="296">
        <f t="shared" si="5"/>
        <v>210</v>
      </c>
      <c r="L24" s="296">
        <f t="shared" si="6"/>
        <v>2940</v>
      </c>
      <c r="M24" s="296">
        <f t="shared" si="8"/>
        <v>0</v>
      </c>
      <c r="N24" s="174"/>
      <c r="O24" s="241"/>
      <c r="P24" s="165"/>
      <c r="R24" s="296">
        <f>L24-'PAY EST 3'!L24</f>
        <v>0</v>
      </c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>
        <v>-27</v>
      </c>
      <c r="H25" s="294">
        <v>8</v>
      </c>
      <c r="I25" s="295">
        <f t="shared" si="7"/>
        <v>0</v>
      </c>
      <c r="J25" s="296">
        <f t="shared" si="4"/>
        <v>3675</v>
      </c>
      <c r="K25" s="296">
        <f t="shared" si="5"/>
        <v>-2835</v>
      </c>
      <c r="L25" s="296">
        <f t="shared" si="6"/>
        <v>840</v>
      </c>
      <c r="M25" s="296">
        <f t="shared" si="8"/>
        <v>0</v>
      </c>
      <c r="N25" s="170">
        <v>1</v>
      </c>
      <c r="O25" s="237">
        <v>95553.900000000009</v>
      </c>
      <c r="P25" s="165"/>
      <c r="R25" s="296">
        <f>L25-'PAY EST 3'!L25</f>
        <v>0</v>
      </c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>
        <v>17.5</v>
      </c>
      <c r="H26" s="294">
        <v>41.5</v>
      </c>
      <c r="I26" s="295">
        <f t="shared" si="7"/>
        <v>0</v>
      </c>
      <c r="J26" s="296">
        <f t="shared" si="4"/>
        <v>2520</v>
      </c>
      <c r="K26" s="296">
        <f t="shared" si="5"/>
        <v>1837.5</v>
      </c>
      <c r="L26" s="296">
        <f t="shared" si="6"/>
        <v>4357.5</v>
      </c>
      <c r="M26" s="296">
        <f t="shared" si="8"/>
        <v>0</v>
      </c>
      <c r="N26" s="171">
        <v>2</v>
      </c>
      <c r="O26" s="239">
        <v>267401.59999999998</v>
      </c>
      <c r="P26" s="165"/>
      <c r="R26" s="296">
        <f>L26-'PAY EST 3'!L26</f>
        <v>1680</v>
      </c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>
        <v>88</v>
      </c>
      <c r="H27" s="294">
        <v>1160</v>
      </c>
      <c r="I27" s="295">
        <f t="shared" si="7"/>
        <v>0</v>
      </c>
      <c r="J27" s="296">
        <f t="shared" si="4"/>
        <v>146328</v>
      </c>
      <c r="K27" s="296">
        <f t="shared" si="5"/>
        <v>12012</v>
      </c>
      <c r="L27" s="296">
        <f t="shared" si="6"/>
        <v>158340</v>
      </c>
      <c r="M27" s="296">
        <f t="shared" si="8"/>
        <v>0</v>
      </c>
      <c r="N27" s="171">
        <v>3</v>
      </c>
      <c r="O27" s="238">
        <v>137425.00000000006</v>
      </c>
      <c r="P27" s="165"/>
      <c r="R27" s="296">
        <f>L27-'PAY EST 3'!L27</f>
        <v>0</v>
      </c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>
        <v>-75</v>
      </c>
      <c r="H28" s="294"/>
      <c r="I28" s="295">
        <f t="shared" si="7"/>
        <v>0</v>
      </c>
      <c r="J28" s="296">
        <f t="shared" si="4"/>
        <v>15750</v>
      </c>
      <c r="K28" s="296">
        <f t="shared" si="5"/>
        <v>-15750</v>
      </c>
      <c r="L28" s="296">
        <f t="shared" si="6"/>
        <v>0</v>
      </c>
      <c r="M28" s="296">
        <f t="shared" si="8"/>
        <v>0</v>
      </c>
      <c r="N28" s="176">
        <v>4</v>
      </c>
      <c r="O28" s="243">
        <v>344248.87024999998</v>
      </c>
      <c r="P28" s="165"/>
      <c r="R28" s="296">
        <f>L28-'PAY EST 3'!L28</f>
        <v>0</v>
      </c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>
        <v>-1</v>
      </c>
      <c r="H29" s="297"/>
      <c r="I29" s="295">
        <f t="shared" si="7"/>
        <v>0</v>
      </c>
      <c r="J29" s="296">
        <f t="shared" si="4"/>
        <v>1575</v>
      </c>
      <c r="K29" s="296">
        <f t="shared" si="5"/>
        <v>-1575</v>
      </c>
      <c r="L29" s="296">
        <f t="shared" si="6"/>
        <v>0</v>
      </c>
      <c r="M29" s="296">
        <f t="shared" si="8"/>
        <v>0</v>
      </c>
      <c r="N29" s="170">
        <v>5</v>
      </c>
      <c r="O29" s="243">
        <v>213618.78999999992</v>
      </c>
      <c r="P29" s="165"/>
      <c r="R29" s="296">
        <f>L29-'PAY EST 3'!L29</f>
        <v>0</v>
      </c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>
        <v>4</v>
      </c>
      <c r="H30" s="297">
        <v>5</v>
      </c>
      <c r="I30" s="295">
        <f t="shared" si="7"/>
        <v>0</v>
      </c>
      <c r="J30" s="296">
        <f t="shared" si="4"/>
        <v>682.5</v>
      </c>
      <c r="K30" s="296">
        <f t="shared" si="5"/>
        <v>2730</v>
      </c>
      <c r="L30" s="296">
        <f t="shared" si="6"/>
        <v>3412.5</v>
      </c>
      <c r="M30" s="296">
        <f t="shared" si="8"/>
        <v>0</v>
      </c>
      <c r="N30" s="171">
        <v>6</v>
      </c>
      <c r="O30" s="244">
        <v>393505.49724999978</v>
      </c>
      <c r="P30" s="165"/>
      <c r="R30" s="296">
        <f>L30-'PAY EST 3'!L30</f>
        <v>0</v>
      </c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>
        <v>-1</v>
      </c>
      <c r="H31" s="297">
        <v>4</v>
      </c>
      <c r="I31" s="295">
        <f t="shared" si="7"/>
        <v>0</v>
      </c>
      <c r="J31" s="296">
        <f t="shared" si="4"/>
        <v>2625</v>
      </c>
      <c r="K31" s="296">
        <f t="shared" si="5"/>
        <v>-525</v>
      </c>
      <c r="L31" s="296">
        <f t="shared" si="6"/>
        <v>2100</v>
      </c>
      <c r="M31" s="296">
        <f t="shared" si="8"/>
        <v>0</v>
      </c>
      <c r="N31" s="177">
        <v>7</v>
      </c>
      <c r="O31" s="244">
        <v>285438.85000000033</v>
      </c>
      <c r="P31" s="165"/>
      <c r="R31" s="296">
        <f>L31-'PAY EST 3'!L31</f>
        <v>1050</v>
      </c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>
        <v>-4</v>
      </c>
      <c r="H32" s="297">
        <v>2</v>
      </c>
      <c r="I32" s="295">
        <f t="shared" si="7"/>
        <v>0</v>
      </c>
      <c r="J32" s="296">
        <f t="shared" si="4"/>
        <v>2520</v>
      </c>
      <c r="K32" s="296">
        <f t="shared" si="5"/>
        <v>-1680</v>
      </c>
      <c r="L32" s="296">
        <f t="shared" si="6"/>
        <v>840</v>
      </c>
      <c r="M32" s="296">
        <f t="shared" si="8"/>
        <v>0</v>
      </c>
      <c r="N32" s="177">
        <v>8</v>
      </c>
      <c r="O32" s="244"/>
      <c r="P32" s="165"/>
      <c r="R32" s="296">
        <f>L32-'PAY EST 3'!L32</f>
        <v>0</v>
      </c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>
        <v>5</v>
      </c>
      <c r="H33" s="297">
        <v>6</v>
      </c>
      <c r="I33" s="295">
        <f t="shared" si="7"/>
        <v>0</v>
      </c>
      <c r="J33" s="296">
        <f t="shared" si="4"/>
        <v>420</v>
      </c>
      <c r="K33" s="296">
        <f t="shared" si="5"/>
        <v>2100</v>
      </c>
      <c r="L33" s="296">
        <f t="shared" si="6"/>
        <v>2520</v>
      </c>
      <c r="M33" s="296">
        <f t="shared" si="8"/>
        <v>0</v>
      </c>
      <c r="N33" s="179"/>
      <c r="O33" s="361" t="s">
        <v>10</v>
      </c>
      <c r="P33" s="165"/>
      <c r="R33" s="296">
        <f>L33-'PAY EST 3'!L33</f>
        <v>0</v>
      </c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>
        <v>1</v>
      </c>
      <c r="H34" s="297">
        <v>2</v>
      </c>
      <c r="I34" s="295">
        <f t="shared" si="7"/>
        <v>0</v>
      </c>
      <c r="J34" s="296">
        <f t="shared" si="4"/>
        <v>420</v>
      </c>
      <c r="K34" s="296">
        <f t="shared" si="5"/>
        <v>420</v>
      </c>
      <c r="L34" s="296">
        <f t="shared" si="6"/>
        <v>840</v>
      </c>
      <c r="M34" s="296">
        <f t="shared" si="8"/>
        <v>0</v>
      </c>
      <c r="N34" s="360"/>
      <c r="O34" s="246">
        <f>SUM(O25:O32)</f>
        <v>1737192.5075000001</v>
      </c>
      <c r="P34" s="165"/>
      <c r="R34" s="296">
        <f>L34-'PAY EST 3'!L34</f>
        <v>0</v>
      </c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>
        <f>L35-'PAY EST 3'!L35</f>
        <v>0</v>
      </c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>
        <f>L36-'PAY EST 3'!L36</f>
        <v>0</v>
      </c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>
        <v>2</v>
      </c>
      <c r="H37" s="297">
        <v>17</v>
      </c>
      <c r="I37" s="295">
        <f t="shared" si="7"/>
        <v>0</v>
      </c>
      <c r="J37" s="296">
        <f t="shared" si="4"/>
        <v>63000</v>
      </c>
      <c r="K37" s="296">
        <f t="shared" si="5"/>
        <v>8400</v>
      </c>
      <c r="L37" s="296">
        <f t="shared" si="6"/>
        <v>71400</v>
      </c>
      <c r="M37" s="296">
        <f t="shared" si="8"/>
        <v>0</v>
      </c>
      <c r="N37" s="180"/>
      <c r="P37" s="165"/>
      <c r="R37" s="296">
        <f>L37-'PAY EST 3'!L37</f>
        <v>0</v>
      </c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>
        <v>2</v>
      </c>
      <c r="H38" s="297">
        <v>17</v>
      </c>
      <c r="I38" s="295">
        <f t="shared" si="7"/>
        <v>0</v>
      </c>
      <c r="J38" s="296">
        <f t="shared" si="4"/>
        <v>47250</v>
      </c>
      <c r="K38" s="296">
        <f t="shared" si="5"/>
        <v>6300</v>
      </c>
      <c r="L38" s="296">
        <f t="shared" si="6"/>
        <v>53550</v>
      </c>
      <c r="M38" s="296">
        <f t="shared" si="8"/>
        <v>0</v>
      </c>
      <c r="N38" s="180"/>
      <c r="P38" s="165"/>
      <c r="R38" s="296">
        <f>L38-'PAY EST 3'!L38</f>
        <v>0</v>
      </c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>
        <v>1</v>
      </c>
      <c r="H39" s="297">
        <v>5</v>
      </c>
      <c r="I39" s="295">
        <f t="shared" si="7"/>
        <v>0</v>
      </c>
      <c r="J39" s="296">
        <f t="shared" si="4"/>
        <v>7560</v>
      </c>
      <c r="K39" s="296">
        <f t="shared" si="5"/>
        <v>1890</v>
      </c>
      <c r="L39" s="296">
        <f t="shared" si="6"/>
        <v>9450</v>
      </c>
      <c r="M39" s="296">
        <f t="shared" si="8"/>
        <v>0</v>
      </c>
      <c r="N39" s="180"/>
      <c r="P39" s="165"/>
      <c r="R39" s="296">
        <f>L39-'PAY EST 3'!L39</f>
        <v>0</v>
      </c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2</v>
      </c>
      <c r="I40" s="295">
        <f t="shared" si="7"/>
        <v>0</v>
      </c>
      <c r="J40" s="296">
        <f t="shared" si="4"/>
        <v>3150</v>
      </c>
      <c r="K40" s="296">
        <f t="shared" si="5"/>
        <v>0</v>
      </c>
      <c r="L40" s="296">
        <f t="shared" si="6"/>
        <v>3150</v>
      </c>
      <c r="M40" s="296">
        <f t="shared" si="8"/>
        <v>0</v>
      </c>
      <c r="N40" s="180"/>
      <c r="P40" s="165"/>
      <c r="R40" s="296">
        <f>L40-'PAY EST 3'!L40</f>
        <v>1575</v>
      </c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>
        <v>1</v>
      </c>
      <c r="H41" s="297">
        <v>6</v>
      </c>
      <c r="I41" s="295">
        <f t="shared" si="7"/>
        <v>0</v>
      </c>
      <c r="J41" s="296">
        <f t="shared" si="4"/>
        <v>42000</v>
      </c>
      <c r="K41" s="296">
        <f t="shared" si="5"/>
        <v>8400</v>
      </c>
      <c r="L41" s="296">
        <f t="shared" si="6"/>
        <v>50400</v>
      </c>
      <c r="M41" s="296">
        <f t="shared" si="8"/>
        <v>0</v>
      </c>
      <c r="N41" s="180"/>
      <c r="P41" s="165"/>
      <c r="R41" s="296">
        <f>L41-'PAY EST 3'!L41</f>
        <v>16800</v>
      </c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>
        <v>-8</v>
      </c>
      <c r="H42" s="297">
        <v>2</v>
      </c>
      <c r="I42" s="295">
        <f t="shared" si="7"/>
        <v>0</v>
      </c>
      <c r="J42" s="296">
        <f t="shared" si="4"/>
        <v>6500</v>
      </c>
      <c r="K42" s="296">
        <f t="shared" si="5"/>
        <v>-5200</v>
      </c>
      <c r="L42" s="296">
        <f t="shared" si="6"/>
        <v>1300</v>
      </c>
      <c r="M42" s="296">
        <f t="shared" si="8"/>
        <v>0</v>
      </c>
      <c r="N42" s="180"/>
      <c r="P42" s="165"/>
      <c r="R42" s="296">
        <f>L42-'PAY EST 3'!L42</f>
        <v>1300</v>
      </c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>
        <v>-1</v>
      </c>
      <c r="H43" s="297">
        <v>3</v>
      </c>
      <c r="I43" s="295">
        <f t="shared" si="7"/>
        <v>0</v>
      </c>
      <c r="J43" s="296">
        <f t="shared" si="4"/>
        <v>4200</v>
      </c>
      <c r="K43" s="296">
        <f t="shared" si="5"/>
        <v>-1050</v>
      </c>
      <c r="L43" s="296">
        <f t="shared" si="6"/>
        <v>3150</v>
      </c>
      <c r="M43" s="296">
        <f t="shared" si="8"/>
        <v>0</v>
      </c>
      <c r="N43" s="180"/>
      <c r="P43" s="165"/>
      <c r="R43" s="296">
        <f>L43-'PAY EST 3'!L43</f>
        <v>1050</v>
      </c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>
        <v>3</v>
      </c>
      <c r="H44" s="297">
        <v>5</v>
      </c>
      <c r="I44" s="295">
        <f t="shared" si="7"/>
        <v>0</v>
      </c>
      <c r="J44" s="296">
        <f t="shared" si="4"/>
        <v>1050</v>
      </c>
      <c r="K44" s="296">
        <f t="shared" si="5"/>
        <v>1575</v>
      </c>
      <c r="L44" s="296">
        <f t="shared" si="6"/>
        <v>2625</v>
      </c>
      <c r="M44" s="296">
        <f t="shared" si="8"/>
        <v>0</v>
      </c>
      <c r="N44" s="180"/>
      <c r="P44" s="165"/>
      <c r="R44" s="296">
        <f>L44-'PAY EST 3'!L44</f>
        <v>525</v>
      </c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>
        <v>-8</v>
      </c>
      <c r="H45" s="297">
        <v>4</v>
      </c>
      <c r="I45" s="295">
        <f t="shared" si="7"/>
        <v>0</v>
      </c>
      <c r="J45" s="296">
        <f t="shared" si="4"/>
        <v>6300</v>
      </c>
      <c r="K45" s="296">
        <f t="shared" si="5"/>
        <v>-4200</v>
      </c>
      <c r="L45" s="296">
        <f t="shared" si="6"/>
        <v>2100</v>
      </c>
      <c r="M45" s="296">
        <f t="shared" si="8"/>
        <v>0</v>
      </c>
      <c r="N45" s="180"/>
      <c r="P45" s="165"/>
      <c r="R45" s="296">
        <f>L45-'PAY EST 3'!L45</f>
        <v>0</v>
      </c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>
        <f>L46-'PAY EST 3'!L46</f>
        <v>0</v>
      </c>
    </row>
    <row r="47" spans="1:18">
      <c r="A47" s="335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8</v>
      </c>
      <c r="I47" s="305">
        <f t="shared" si="7"/>
        <v>0</v>
      </c>
      <c r="J47" s="306">
        <f t="shared" si="4"/>
        <v>74741.600000000006</v>
      </c>
      <c r="K47" s="306">
        <f t="shared" si="5"/>
        <v>0</v>
      </c>
      <c r="L47" s="306">
        <f t="shared" si="6"/>
        <v>74741.600000000006</v>
      </c>
      <c r="M47" s="306">
        <f t="shared" si="8"/>
        <v>0</v>
      </c>
      <c r="N47" s="180"/>
      <c r="P47" s="165"/>
      <c r="R47" s="306">
        <f>L47-'PAY EST 3'!L47</f>
        <v>37370.800000000003</v>
      </c>
    </row>
    <row r="48" spans="1:18">
      <c r="A48" s="256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1</v>
      </c>
      <c r="I48" s="167">
        <f t="shared" si="7"/>
        <v>0</v>
      </c>
      <c r="J48" s="162">
        <f t="shared" si="4"/>
        <v>9532.36</v>
      </c>
      <c r="K48" s="162">
        <f t="shared" si="5"/>
        <v>0</v>
      </c>
      <c r="L48" s="162">
        <f t="shared" si="6"/>
        <v>9532.36</v>
      </c>
      <c r="M48" s="162">
        <f t="shared" si="8"/>
        <v>0</v>
      </c>
      <c r="N48" s="180"/>
      <c r="P48" s="165"/>
      <c r="R48" s="162">
        <f>L48-'PAY EST 3'!L48</f>
        <v>9532.36</v>
      </c>
    </row>
    <row r="49" spans="1:18">
      <c r="A49" s="256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7</v>
      </c>
      <c r="I49" s="167">
        <f t="shared" si="7"/>
        <v>0</v>
      </c>
      <c r="J49" s="162">
        <f t="shared" si="4"/>
        <v>24746.12</v>
      </c>
      <c r="K49" s="162">
        <f t="shared" si="5"/>
        <v>0</v>
      </c>
      <c r="L49" s="162">
        <f t="shared" si="6"/>
        <v>24746.12</v>
      </c>
      <c r="M49" s="162">
        <f t="shared" si="8"/>
        <v>0</v>
      </c>
      <c r="N49" s="180"/>
      <c r="P49" s="165"/>
      <c r="R49" s="162">
        <f>L49-'PAY EST 3'!L49</f>
        <v>17675.8</v>
      </c>
    </row>
    <row r="50" spans="1:18">
      <c r="A50" s="356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>
        <v>2</v>
      </c>
      <c r="H50" s="227">
        <v>4</v>
      </c>
      <c r="I50" s="167">
        <f t="shared" si="7"/>
        <v>0</v>
      </c>
      <c r="J50" s="162">
        <f t="shared" si="4"/>
        <v>14549.7</v>
      </c>
      <c r="K50" s="162">
        <f t="shared" si="5"/>
        <v>14549.7</v>
      </c>
      <c r="L50" s="162">
        <f t="shared" si="6"/>
        <v>29099.4</v>
      </c>
      <c r="M50" s="162">
        <f t="shared" si="8"/>
        <v>0</v>
      </c>
      <c r="N50" s="180"/>
      <c r="P50" s="165"/>
      <c r="R50" s="162">
        <f>L50-'PAY EST 3'!L50</f>
        <v>29099.4</v>
      </c>
    </row>
    <row r="51" spans="1:18">
      <c r="A51" s="335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1</v>
      </c>
      <c r="I51" s="305">
        <f t="shared" si="7"/>
        <v>0</v>
      </c>
      <c r="J51" s="306">
        <f t="shared" si="4"/>
        <v>2200</v>
      </c>
      <c r="K51" s="306">
        <f t="shared" si="5"/>
        <v>0</v>
      </c>
      <c r="L51" s="306">
        <f t="shared" si="6"/>
        <v>2200</v>
      </c>
      <c r="M51" s="306">
        <f t="shared" si="8"/>
        <v>0</v>
      </c>
      <c r="N51" s="180"/>
      <c r="P51" s="165"/>
      <c r="R51" s="306">
        <f>L51-'PAY EST 3'!L51</f>
        <v>2200</v>
      </c>
    </row>
    <row r="52" spans="1:18">
      <c r="A52" s="335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>
        <f>L52-'PAY EST 3'!L52</f>
        <v>5250</v>
      </c>
    </row>
    <row r="53" spans="1:18">
      <c r="A53" s="357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3</v>
      </c>
      <c r="I53" s="333">
        <f t="shared" si="7"/>
        <v>0</v>
      </c>
      <c r="J53" s="334">
        <f t="shared" si="4"/>
        <v>3709.5</v>
      </c>
      <c r="K53" s="334">
        <f t="shared" si="5"/>
        <v>0</v>
      </c>
      <c r="L53" s="334">
        <f t="shared" si="6"/>
        <v>3709.5</v>
      </c>
      <c r="M53" s="334">
        <f t="shared" si="8"/>
        <v>0</v>
      </c>
      <c r="N53" s="180"/>
      <c r="P53" s="165"/>
      <c r="R53" s="334">
        <f>L53-'PAY EST 3'!L53</f>
        <v>3709.5</v>
      </c>
    </row>
    <row r="54" spans="1:18">
      <c r="A54" s="335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9</v>
      </c>
      <c r="I54" s="305">
        <f t="shared" si="7"/>
        <v>0</v>
      </c>
      <c r="J54" s="306">
        <f t="shared" si="4"/>
        <v>9450</v>
      </c>
      <c r="K54" s="306">
        <f t="shared" si="5"/>
        <v>0</v>
      </c>
      <c r="L54" s="306">
        <f t="shared" si="6"/>
        <v>9450</v>
      </c>
      <c r="M54" s="306">
        <f t="shared" si="8"/>
        <v>0</v>
      </c>
      <c r="N54" s="180"/>
      <c r="P54" s="165"/>
      <c r="R54" s="306">
        <f>L54-'PAY EST 3'!L54</f>
        <v>5250</v>
      </c>
    </row>
    <row r="55" spans="1:18">
      <c r="A55" s="256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1</v>
      </c>
      <c r="I55" s="167">
        <f t="shared" si="7"/>
        <v>0</v>
      </c>
      <c r="J55" s="162">
        <f t="shared" si="4"/>
        <v>1050</v>
      </c>
      <c r="K55" s="162">
        <f t="shared" si="5"/>
        <v>0</v>
      </c>
      <c r="L55" s="162">
        <f t="shared" si="6"/>
        <v>1050</v>
      </c>
      <c r="M55" s="162">
        <f t="shared" si="8"/>
        <v>0</v>
      </c>
      <c r="N55" s="180"/>
      <c r="P55" s="165"/>
      <c r="R55" s="162">
        <f>L55-'PAY EST 3'!L55</f>
        <v>1050</v>
      </c>
    </row>
    <row r="56" spans="1:18">
      <c r="A56" s="256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9</v>
      </c>
      <c r="I56" s="167">
        <f t="shared" si="7"/>
        <v>0</v>
      </c>
      <c r="J56" s="162">
        <f t="shared" si="4"/>
        <v>9450</v>
      </c>
      <c r="K56" s="162">
        <f t="shared" si="5"/>
        <v>0</v>
      </c>
      <c r="L56" s="162">
        <f t="shared" si="6"/>
        <v>9450</v>
      </c>
      <c r="M56" s="162">
        <f t="shared" si="8"/>
        <v>0</v>
      </c>
      <c r="N56" s="180"/>
      <c r="P56" s="165"/>
      <c r="R56" s="162">
        <f>L56-'PAY EST 3'!L56</f>
        <v>7350</v>
      </c>
    </row>
    <row r="57" spans="1:18">
      <c r="A57" s="335" t="s">
        <v>297</v>
      </c>
      <c r="B57" s="299" t="str">
        <f t="shared" si="0"/>
        <v xml:space="preserve">Sanitary Sewer MH - External Drop (E 16th and Maxwell) </v>
      </c>
      <c r="C57" s="300"/>
      <c r="D57" s="301" t="str">
        <f t="shared" si="1"/>
        <v>LS</v>
      </c>
      <c r="E57" s="302">
        <f t="shared" si="2"/>
        <v>3300</v>
      </c>
      <c r="F57" s="303"/>
      <c r="G57" s="304">
        <v>1</v>
      </c>
      <c r="H57" s="304">
        <v>1</v>
      </c>
      <c r="I57" s="305">
        <f t="shared" si="7"/>
        <v>0</v>
      </c>
      <c r="J57" s="306">
        <f t="shared" si="4"/>
        <v>0</v>
      </c>
      <c r="K57" s="306">
        <f t="shared" si="5"/>
        <v>3300</v>
      </c>
      <c r="L57" s="306">
        <f t="shared" si="6"/>
        <v>3300</v>
      </c>
      <c r="M57" s="306">
        <f t="shared" ref="M57" si="9">SUM(J57:K57)-L57</f>
        <v>0</v>
      </c>
      <c r="N57" s="180"/>
      <c r="P57" s="165"/>
      <c r="R57" s="162">
        <f>L57-'PAY EST 3'!L56</f>
        <v>1200</v>
      </c>
    </row>
    <row r="58" spans="1:18">
      <c r="A58" s="256"/>
      <c r="B58" s="23" t="e">
        <f t="shared" si="0"/>
        <v>#N/A</v>
      </c>
      <c r="C58" s="137"/>
      <c r="D58" s="24" t="e">
        <f t="shared" si="1"/>
        <v>#N/A</v>
      </c>
      <c r="E58" s="231" t="e">
        <f t="shared" si="2"/>
        <v>#N/A</v>
      </c>
      <c r="F58" s="225" t="e">
        <f t="shared" si="3"/>
        <v>#N/A</v>
      </c>
      <c r="G58" s="227"/>
      <c r="H58" s="227"/>
      <c r="I58" s="167" t="e">
        <f t="shared" si="7"/>
        <v>#N/A</v>
      </c>
      <c r="J58" s="162">
        <f t="shared" si="4"/>
        <v>0</v>
      </c>
      <c r="K58" s="162">
        <f t="shared" si="5"/>
        <v>0</v>
      </c>
      <c r="L58" s="162">
        <f t="shared" si="6"/>
        <v>0</v>
      </c>
      <c r="M58" s="162">
        <f t="shared" si="8"/>
        <v>0</v>
      </c>
      <c r="N58" s="180"/>
      <c r="P58" s="165"/>
      <c r="R58" s="162">
        <f>L58-'PAY EST 3'!L57</f>
        <v>0</v>
      </c>
    </row>
    <row r="59" spans="1:18">
      <c r="A59" s="358" t="s">
        <v>258</v>
      </c>
      <c r="B59" s="325" t="str">
        <f t="shared" si="0"/>
        <v>Curb &amp; Gutter, 30" width, 12" thickness</v>
      </c>
      <c r="C59" s="337"/>
      <c r="D59" s="338" t="str">
        <f t="shared" si="1"/>
        <v>lf</v>
      </c>
      <c r="E59" s="339">
        <f t="shared" si="2"/>
        <v>35</v>
      </c>
      <c r="F59" s="340">
        <f t="shared" si="3"/>
        <v>5300</v>
      </c>
      <c r="G59" s="341">
        <v>153</v>
      </c>
      <c r="H59" s="341">
        <v>5453</v>
      </c>
      <c r="I59" s="342">
        <f t="shared" si="7"/>
        <v>0</v>
      </c>
      <c r="J59" s="343">
        <f t="shared" si="4"/>
        <v>185500</v>
      </c>
      <c r="K59" s="343">
        <f t="shared" si="5"/>
        <v>5355</v>
      </c>
      <c r="L59" s="343">
        <f t="shared" si="6"/>
        <v>190855</v>
      </c>
      <c r="M59" s="343">
        <f t="shared" si="8"/>
        <v>0</v>
      </c>
      <c r="N59" s="180"/>
      <c r="P59" s="165"/>
      <c r="R59" s="343">
        <f>L59-'PAY EST 3'!L58</f>
        <v>190855</v>
      </c>
    </row>
    <row r="60" spans="1:18">
      <c r="A60" s="256" t="s">
        <v>259</v>
      </c>
      <c r="B60" s="23" t="str">
        <f t="shared" si="0"/>
        <v>Pavement, HMA, Base, 5" depth</v>
      </c>
      <c r="C60" s="137"/>
      <c r="D60" s="24" t="str">
        <f t="shared" si="1"/>
        <v>ton</v>
      </c>
      <c r="E60" s="231">
        <f t="shared" si="2"/>
        <v>103</v>
      </c>
      <c r="F60" s="225">
        <f t="shared" si="3"/>
        <v>2844.8</v>
      </c>
      <c r="G60" s="227">
        <v>-91.8</v>
      </c>
      <c r="H60" s="227">
        <v>2753</v>
      </c>
      <c r="I60" s="167">
        <f t="shared" si="7"/>
        <v>0</v>
      </c>
      <c r="J60" s="162">
        <f t="shared" si="4"/>
        <v>293014.40000000002</v>
      </c>
      <c r="K60" s="162">
        <f t="shared" si="5"/>
        <v>-9455.4</v>
      </c>
      <c r="L60" s="162">
        <f t="shared" si="6"/>
        <v>283559</v>
      </c>
      <c r="M60" s="162">
        <f t="shared" si="8"/>
        <v>0</v>
      </c>
      <c r="N60" s="180"/>
      <c r="P60" s="165"/>
      <c r="R60" s="162">
        <f>L60-'PAY EST 3'!L59</f>
        <v>283559</v>
      </c>
    </row>
    <row r="61" spans="1:18">
      <c r="A61" s="256" t="s">
        <v>260</v>
      </c>
      <c r="B61" s="23" t="str">
        <f t="shared" si="0"/>
        <v>Pavement, HMA, Surface, 2" depth</v>
      </c>
      <c r="C61" s="137"/>
      <c r="D61" s="24" t="str">
        <f t="shared" si="1"/>
        <v>ton</v>
      </c>
      <c r="E61" s="231">
        <f t="shared" si="2"/>
        <v>108</v>
      </c>
      <c r="F61" s="225">
        <f t="shared" si="3"/>
        <v>1144.4000000000001</v>
      </c>
      <c r="G61" s="227">
        <v>-130.34</v>
      </c>
      <c r="H61" s="227">
        <v>1014.06</v>
      </c>
      <c r="I61" s="167">
        <f t="shared" si="7"/>
        <v>0</v>
      </c>
      <c r="J61" s="162">
        <f t="shared" si="4"/>
        <v>123595.20000000001</v>
      </c>
      <c r="K61" s="162">
        <f t="shared" si="5"/>
        <v>-14076.720000000001</v>
      </c>
      <c r="L61" s="162">
        <f t="shared" si="6"/>
        <v>109518.48</v>
      </c>
      <c r="M61" s="162">
        <f t="shared" si="8"/>
        <v>0</v>
      </c>
      <c r="N61" s="180"/>
      <c r="P61" s="165"/>
      <c r="R61" s="162">
        <f>L61-'PAY EST 3'!L60</f>
        <v>109518.48</v>
      </c>
    </row>
    <row r="62" spans="1:18">
      <c r="A62" s="256" t="s">
        <v>261</v>
      </c>
      <c r="B62" s="23" t="str">
        <f t="shared" si="0"/>
        <v>Removal of Sidewalk/Driveway</v>
      </c>
      <c r="C62" s="137"/>
      <c r="D62" s="24" t="str">
        <f t="shared" si="1"/>
        <v>sy</v>
      </c>
      <c r="E62" s="231">
        <f t="shared" si="2"/>
        <v>10.75</v>
      </c>
      <c r="F62" s="225">
        <f t="shared" si="3"/>
        <v>1191.7</v>
      </c>
      <c r="G62" s="227">
        <v>-1.0900000000000001</v>
      </c>
      <c r="H62" s="227">
        <v>1190.6099999999999</v>
      </c>
      <c r="I62" s="167">
        <f t="shared" si="7"/>
        <v>0</v>
      </c>
      <c r="J62" s="162">
        <f t="shared" si="4"/>
        <v>12810.775</v>
      </c>
      <c r="K62" s="162">
        <f t="shared" si="5"/>
        <v>-11.717500000000001</v>
      </c>
      <c r="L62" s="162">
        <f t="shared" si="6"/>
        <v>12799.057499999999</v>
      </c>
      <c r="M62" s="162">
        <f t="shared" si="8"/>
        <v>0</v>
      </c>
      <c r="N62" s="180"/>
      <c r="P62" s="165"/>
      <c r="R62" s="162">
        <f>L62-'PAY EST 3'!L61</f>
        <v>11012.407499999999</v>
      </c>
    </row>
    <row r="63" spans="1:18">
      <c r="A63" s="358" t="s">
        <v>262</v>
      </c>
      <c r="B63" s="325" t="str">
        <f t="shared" si="0"/>
        <v>Sidewalk/Drive, PCC, 6"/4" depth</v>
      </c>
      <c r="C63" s="337"/>
      <c r="D63" s="338" t="str">
        <f t="shared" si="1"/>
        <v>sy</v>
      </c>
      <c r="E63" s="339">
        <f t="shared" si="2"/>
        <v>94</v>
      </c>
      <c r="F63" s="340">
        <f t="shared" si="3"/>
        <v>1293</v>
      </c>
      <c r="G63" s="341">
        <v>31.2</v>
      </c>
      <c r="H63" s="341">
        <v>1324.2</v>
      </c>
      <c r="I63" s="342">
        <f t="shared" si="7"/>
        <v>0</v>
      </c>
      <c r="J63" s="343">
        <f t="shared" si="4"/>
        <v>121542</v>
      </c>
      <c r="K63" s="343">
        <f t="shared" si="5"/>
        <v>2932.7999999999997</v>
      </c>
      <c r="L63" s="343">
        <f t="shared" si="6"/>
        <v>124474.8</v>
      </c>
      <c r="M63" s="343">
        <f t="shared" si="8"/>
        <v>0</v>
      </c>
      <c r="N63" s="180"/>
      <c r="P63" s="165"/>
      <c r="R63" s="343">
        <f>L63-'PAY EST 3'!L62</f>
        <v>124474.8</v>
      </c>
    </row>
    <row r="64" spans="1:18">
      <c r="A64" s="256" t="s">
        <v>263</v>
      </c>
      <c r="B64" s="23" t="str">
        <f t="shared" si="0"/>
        <v>Detectable Warning</v>
      </c>
      <c r="C64" s="137"/>
      <c r="D64" s="24" t="str">
        <f t="shared" si="1"/>
        <v>sf</v>
      </c>
      <c r="E64" s="231">
        <f t="shared" si="2"/>
        <v>45</v>
      </c>
      <c r="F64" s="225">
        <f t="shared" si="3"/>
        <v>263</v>
      </c>
      <c r="G64" s="227">
        <v>25.2</v>
      </c>
      <c r="H64" s="227">
        <v>288.2</v>
      </c>
      <c r="I64" s="167">
        <f t="shared" si="7"/>
        <v>0</v>
      </c>
      <c r="J64" s="162">
        <f t="shared" si="4"/>
        <v>11835</v>
      </c>
      <c r="K64" s="162">
        <f t="shared" si="5"/>
        <v>1134</v>
      </c>
      <c r="L64" s="162">
        <f t="shared" si="6"/>
        <v>12969</v>
      </c>
      <c r="M64" s="162">
        <f t="shared" si="8"/>
        <v>0</v>
      </c>
      <c r="N64" s="180"/>
      <c r="P64" s="165"/>
      <c r="R64" s="162">
        <f>L64-'PAY EST 3'!L63</f>
        <v>12969</v>
      </c>
    </row>
    <row r="65" spans="1:18">
      <c r="A65" s="256" t="s">
        <v>264</v>
      </c>
      <c r="B65" s="23" t="str">
        <f t="shared" si="0"/>
        <v>Full Depth Patch, PCC</v>
      </c>
      <c r="C65" s="137"/>
      <c r="D65" s="24" t="str">
        <f t="shared" si="1"/>
        <v>sy</v>
      </c>
      <c r="E65" s="231">
        <f t="shared" si="2"/>
        <v>112</v>
      </c>
      <c r="F65" s="225">
        <f t="shared" si="3"/>
        <v>44.2</v>
      </c>
      <c r="G65" s="227">
        <v>0.5</v>
      </c>
      <c r="H65" s="227">
        <v>44.7</v>
      </c>
      <c r="I65" s="167">
        <f t="shared" si="7"/>
        <v>0</v>
      </c>
      <c r="J65" s="162">
        <f t="shared" si="4"/>
        <v>4950.4000000000005</v>
      </c>
      <c r="K65" s="162">
        <f t="shared" si="5"/>
        <v>56</v>
      </c>
      <c r="L65" s="162">
        <f t="shared" si="6"/>
        <v>5006.4000000000005</v>
      </c>
      <c r="M65" s="162">
        <f t="shared" si="8"/>
        <v>0</v>
      </c>
      <c r="N65" s="180"/>
      <c r="P65" s="165"/>
      <c r="R65" s="162">
        <f>L65-'PAY EST 3'!L64</f>
        <v>5006.4000000000005</v>
      </c>
    </row>
    <row r="66" spans="1:18">
      <c r="A66" s="256" t="s">
        <v>265</v>
      </c>
      <c r="B66" s="23" t="str">
        <f t="shared" si="0"/>
        <v>Milling</v>
      </c>
      <c r="C66" s="137"/>
      <c r="D66" s="24" t="str">
        <f t="shared" si="1"/>
        <v>sy</v>
      </c>
      <c r="E66" s="231">
        <f t="shared" si="2"/>
        <v>78</v>
      </c>
      <c r="F66" s="225">
        <f t="shared" si="3"/>
        <v>52.7</v>
      </c>
      <c r="G66" s="227">
        <v>-52.7</v>
      </c>
      <c r="H66" s="227">
        <v>0</v>
      </c>
      <c r="I66" s="167">
        <f t="shared" si="7"/>
        <v>0</v>
      </c>
      <c r="J66" s="162">
        <f t="shared" si="4"/>
        <v>4110.6000000000004</v>
      </c>
      <c r="K66" s="162">
        <f t="shared" si="5"/>
        <v>-4110.6000000000004</v>
      </c>
      <c r="L66" s="162">
        <f t="shared" si="6"/>
        <v>0</v>
      </c>
      <c r="M66" s="162">
        <f t="shared" si="8"/>
        <v>0</v>
      </c>
      <c r="N66" s="180"/>
      <c r="P66" s="165"/>
      <c r="R66" s="162">
        <f>L66-'PAY EST 3'!L65</f>
        <v>0</v>
      </c>
    </row>
    <row r="67" spans="1:18">
      <c r="A67" s="256" t="s">
        <v>266</v>
      </c>
      <c r="B67" s="23" t="str">
        <f t="shared" si="0"/>
        <v>Pavement Removal</v>
      </c>
      <c r="C67" s="137"/>
      <c r="D67" s="24" t="str">
        <f t="shared" si="1"/>
        <v>sy</v>
      </c>
      <c r="E67" s="231">
        <f t="shared" si="2"/>
        <v>5.5</v>
      </c>
      <c r="F67" s="225">
        <f t="shared" si="3"/>
        <v>9400.1</v>
      </c>
      <c r="G67" s="227">
        <v>-73.099999999999994</v>
      </c>
      <c r="H67" s="227">
        <v>9327</v>
      </c>
      <c r="I67" s="167">
        <f t="shared" si="7"/>
        <v>0</v>
      </c>
      <c r="J67" s="162">
        <f t="shared" si="4"/>
        <v>51700.55</v>
      </c>
      <c r="K67" s="162">
        <f t="shared" si="5"/>
        <v>-402.04999999999995</v>
      </c>
      <c r="L67" s="162">
        <f t="shared" si="6"/>
        <v>51298.5</v>
      </c>
      <c r="M67" s="162">
        <f t="shared" si="8"/>
        <v>0</v>
      </c>
      <c r="N67" s="180"/>
      <c r="P67" s="165"/>
      <c r="R67" s="162">
        <f>L67-'PAY EST 3'!L66</f>
        <v>43543.5</v>
      </c>
    </row>
    <row r="68" spans="1:18">
      <c r="A68" s="256" t="s">
        <v>288</v>
      </c>
      <c r="B68" s="23" t="str">
        <f t="shared" si="0"/>
        <v>Curb &amp; Gutter Removal</v>
      </c>
      <c r="C68" s="137"/>
      <c r="D68" s="24" t="str">
        <f t="shared" si="1"/>
        <v>lf</v>
      </c>
      <c r="E68" s="231">
        <f t="shared" si="2"/>
        <v>6.25</v>
      </c>
      <c r="F68" s="225">
        <f t="shared" si="3"/>
        <v>5281</v>
      </c>
      <c r="G68" s="227">
        <v>1</v>
      </c>
      <c r="H68" s="227">
        <v>5282</v>
      </c>
      <c r="I68" s="167">
        <f t="shared" si="7"/>
        <v>0</v>
      </c>
      <c r="J68" s="162">
        <f t="shared" si="4"/>
        <v>33006.25</v>
      </c>
      <c r="K68" s="162">
        <f t="shared" si="5"/>
        <v>6.25</v>
      </c>
      <c r="L68" s="162">
        <f t="shared" si="6"/>
        <v>33012.5</v>
      </c>
      <c r="M68" s="162">
        <f t="shared" si="8"/>
        <v>0</v>
      </c>
      <c r="N68" s="180"/>
      <c r="P68" s="165"/>
      <c r="R68" s="162">
        <f>L68-'PAY EST 3'!L67</f>
        <v>30456.25</v>
      </c>
    </row>
    <row r="69" spans="1:18">
      <c r="A69" s="256" t="s">
        <v>267</v>
      </c>
      <c r="B69" s="23" t="str">
        <f t="shared" si="0"/>
        <v>Engineering Fabric/Geogrid Fabric</v>
      </c>
      <c r="C69" s="137"/>
      <c r="D69" s="24" t="str">
        <f t="shared" si="1"/>
        <v>sy</v>
      </c>
      <c r="E69" s="231">
        <f t="shared" si="2"/>
        <v>3.5</v>
      </c>
      <c r="F69" s="225">
        <f t="shared" si="3"/>
        <v>2996</v>
      </c>
      <c r="G69" s="227">
        <v>-98.6</v>
      </c>
      <c r="H69" s="227">
        <v>2897.4</v>
      </c>
      <c r="I69" s="167">
        <f t="shared" si="7"/>
        <v>0</v>
      </c>
      <c r="J69" s="162">
        <f t="shared" si="4"/>
        <v>10486</v>
      </c>
      <c r="K69" s="162">
        <f t="shared" si="5"/>
        <v>-345.09999999999997</v>
      </c>
      <c r="L69" s="162">
        <f t="shared" si="6"/>
        <v>10140.9</v>
      </c>
      <c r="M69" s="162">
        <f t="shared" si="8"/>
        <v>0</v>
      </c>
      <c r="N69" s="180"/>
      <c r="P69" s="165"/>
      <c r="R69" s="162">
        <f>L69-'PAY EST 3'!L68</f>
        <v>10140.9</v>
      </c>
    </row>
    <row r="70" spans="1:18">
      <c r="A70" s="256"/>
      <c r="B70" s="23" t="e">
        <f t="shared" si="0"/>
        <v>#N/A</v>
      </c>
      <c r="C70" s="137"/>
      <c r="D70" s="24" t="e">
        <f t="shared" si="1"/>
        <v>#N/A</v>
      </c>
      <c r="E70" s="231" t="e">
        <f t="shared" si="2"/>
        <v>#N/A</v>
      </c>
      <c r="F70" s="225" t="e">
        <f t="shared" si="3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  <c r="R70" s="162">
        <f>L70-'PAY EST 3'!L69</f>
        <v>0</v>
      </c>
    </row>
    <row r="71" spans="1:18">
      <c r="A71" s="256" t="s">
        <v>268</v>
      </c>
      <c r="B71" s="23" t="str">
        <f t="shared" si="0"/>
        <v>Temporary Traffic Control</v>
      </c>
      <c r="C71" s="137"/>
      <c r="D71" s="24" t="str">
        <f t="shared" si="1"/>
        <v>ls</v>
      </c>
      <c r="E71" s="231">
        <f t="shared" si="2"/>
        <v>17350</v>
      </c>
      <c r="F71" s="225">
        <f t="shared" si="3"/>
        <v>1</v>
      </c>
      <c r="G71" s="227"/>
      <c r="H71" s="227">
        <v>1</v>
      </c>
      <c r="I71" s="167">
        <f t="shared" si="7"/>
        <v>0</v>
      </c>
      <c r="J71" s="162">
        <f t="shared" si="4"/>
        <v>17350</v>
      </c>
      <c r="K71" s="162">
        <f t="shared" si="5"/>
        <v>0</v>
      </c>
      <c r="L71" s="162">
        <f t="shared" si="6"/>
        <v>17350</v>
      </c>
      <c r="M71" s="162">
        <f t="shared" si="8"/>
        <v>0</v>
      </c>
      <c r="N71" s="180"/>
      <c r="P71" s="165"/>
      <c r="R71" s="162">
        <f>L71-'PAY EST 3'!L70</f>
        <v>12145</v>
      </c>
    </row>
    <row r="72" spans="1:18">
      <c r="A72" s="256"/>
      <c r="B72" s="23" t="e">
        <f t="shared" si="0"/>
        <v>#N/A</v>
      </c>
      <c r="C72" s="137"/>
      <c r="D72" s="24" t="e">
        <f t="shared" si="1"/>
        <v>#N/A</v>
      </c>
      <c r="E72" s="232" t="e">
        <f t="shared" si="2"/>
        <v>#N/A</v>
      </c>
      <c r="F72" s="225" t="e">
        <f t="shared" si="3"/>
        <v>#N/A</v>
      </c>
      <c r="G72" s="227"/>
      <c r="H72" s="227"/>
      <c r="I72" s="167" t="e">
        <f t="shared" si="7"/>
        <v>#N/A</v>
      </c>
      <c r="J72" s="162">
        <f t="shared" si="4"/>
        <v>0</v>
      </c>
      <c r="K72" s="162">
        <f t="shared" si="5"/>
        <v>0</v>
      </c>
      <c r="L72" s="162">
        <f t="shared" si="6"/>
        <v>0</v>
      </c>
      <c r="M72" s="162">
        <f t="shared" si="8"/>
        <v>0</v>
      </c>
      <c r="N72" s="180"/>
      <c r="P72" s="165"/>
      <c r="R72" s="162">
        <f>L72-'PAY EST 3'!L71</f>
        <v>0</v>
      </c>
    </row>
    <row r="73" spans="1:18">
      <c r="A73" s="256" t="s">
        <v>269</v>
      </c>
      <c r="B73" s="23" t="str">
        <f t="shared" si="0"/>
        <v>Wattles</v>
      </c>
      <c r="C73" s="137"/>
      <c r="D73" s="24" t="str">
        <f t="shared" si="1"/>
        <v>lf</v>
      </c>
      <c r="E73" s="232">
        <f t="shared" si="2"/>
        <v>3.7</v>
      </c>
      <c r="F73" s="225">
        <f t="shared" si="3"/>
        <v>500</v>
      </c>
      <c r="G73" s="227">
        <v>-426</v>
      </c>
      <c r="H73" s="227">
        <v>74</v>
      </c>
      <c r="I73" s="167">
        <f t="shared" si="7"/>
        <v>0</v>
      </c>
      <c r="J73" s="162">
        <f t="shared" si="4"/>
        <v>1850</v>
      </c>
      <c r="K73" s="162">
        <f t="shared" si="5"/>
        <v>-1576.2</v>
      </c>
      <c r="L73" s="162">
        <f t="shared" si="6"/>
        <v>273.8</v>
      </c>
      <c r="M73" s="162">
        <f t="shared" si="8"/>
        <v>0</v>
      </c>
      <c r="N73" s="180"/>
      <c r="P73" s="165"/>
      <c r="R73" s="162">
        <f>L73-'PAY EST 3'!L72</f>
        <v>0</v>
      </c>
    </row>
    <row r="74" spans="1:18">
      <c r="A74" s="256" t="s">
        <v>270</v>
      </c>
      <c r="B74" s="23" t="str">
        <f t="shared" ref="B74:B108" si="10">VLOOKUP($A74,BIDTAB,2,FALSE)</f>
        <v>Inlet Protection Device</v>
      </c>
      <c r="C74" s="137"/>
      <c r="D74" s="24" t="str">
        <f t="shared" ref="D74:D108" si="11">VLOOKUP($A74,BIDTAB,3,FALSE)</f>
        <v>ea</v>
      </c>
      <c r="E74" s="233">
        <f t="shared" ref="E74:E108" si="12">VLOOKUP($A74,BIDTAB,7,FALSE)</f>
        <v>210</v>
      </c>
      <c r="F74" s="225">
        <f t="shared" ref="F74:F108" si="13">VLOOKUP($A74,BIDTAB,4,FALSE)</f>
        <v>17</v>
      </c>
      <c r="G74" s="227">
        <v>-8</v>
      </c>
      <c r="H74" s="227">
        <v>9</v>
      </c>
      <c r="I74" s="167">
        <f t="shared" si="7"/>
        <v>0</v>
      </c>
      <c r="J74" s="162">
        <f t="shared" ref="J74:J77" si="14">IF(ISERROR(F74*E74),0,F74*E74)</f>
        <v>3570</v>
      </c>
      <c r="K74" s="162">
        <f t="shared" ref="K74:K77" si="15">IF(ISERROR(G74*E74),0,G74*E74)</f>
        <v>-1680</v>
      </c>
      <c r="L74" s="162">
        <f t="shared" ref="L74:L77" si="16">IF(ISERROR(H74*E74),0,H74*E74)</f>
        <v>1890</v>
      </c>
      <c r="M74" s="162">
        <f t="shared" si="8"/>
        <v>0</v>
      </c>
      <c r="N74" s="180"/>
      <c r="P74" s="165"/>
      <c r="R74" s="162">
        <f>L74-'PAY EST 3'!L73</f>
        <v>1050</v>
      </c>
    </row>
    <row r="75" spans="1:18">
      <c r="A75" s="256" t="s">
        <v>271</v>
      </c>
      <c r="B75" s="23" t="str">
        <f t="shared" si="10"/>
        <v>Inlet Protection Device, Maintenance</v>
      </c>
      <c r="C75" s="137"/>
      <c r="D75" s="24" t="str">
        <f t="shared" si="11"/>
        <v>ea</v>
      </c>
      <c r="E75" s="233">
        <f t="shared" si="12"/>
        <v>52.5</v>
      </c>
      <c r="F75" s="225">
        <f t="shared" si="13"/>
        <v>17</v>
      </c>
      <c r="G75" s="227"/>
      <c r="H75" s="227">
        <v>17</v>
      </c>
      <c r="I75" s="167">
        <f t="shared" ref="I75:I108" si="17">IF(ISBLANK(G75),F75,F75+G75)-H75</f>
        <v>0</v>
      </c>
      <c r="J75" s="162">
        <f t="shared" si="14"/>
        <v>892.5</v>
      </c>
      <c r="K75" s="162">
        <f t="shared" si="15"/>
        <v>0</v>
      </c>
      <c r="L75" s="162">
        <f t="shared" si="16"/>
        <v>892.5</v>
      </c>
      <c r="M75" s="162">
        <f t="shared" ref="M75:M77" si="18">SUM(J75:K75)-L75</f>
        <v>0</v>
      </c>
      <c r="N75" s="180"/>
      <c r="P75" s="165"/>
      <c r="R75" s="162">
        <f>L75-'PAY EST 3'!L74</f>
        <v>682.5</v>
      </c>
    </row>
    <row r="76" spans="1:18">
      <c r="A76" s="256" t="s">
        <v>272</v>
      </c>
      <c r="B76" s="23" t="str">
        <f t="shared" si="10"/>
        <v>Modular Block Retaining Wall</v>
      </c>
      <c r="C76" s="137"/>
      <c r="D76" s="24" t="str">
        <f t="shared" si="11"/>
        <v>sf</v>
      </c>
      <c r="E76" s="233">
        <f t="shared" si="12"/>
        <v>70.349999999999994</v>
      </c>
      <c r="F76" s="225">
        <f t="shared" si="13"/>
        <v>60</v>
      </c>
      <c r="G76" s="227">
        <v>83</v>
      </c>
      <c r="H76" s="227">
        <v>143</v>
      </c>
      <c r="I76" s="167">
        <f t="shared" si="17"/>
        <v>0</v>
      </c>
      <c r="J76" s="162">
        <f t="shared" si="14"/>
        <v>4221</v>
      </c>
      <c r="K76" s="162">
        <f t="shared" si="15"/>
        <v>5839.0499999999993</v>
      </c>
      <c r="L76" s="162">
        <f t="shared" si="16"/>
        <v>10060.049999999999</v>
      </c>
      <c r="M76" s="162">
        <f t="shared" si="18"/>
        <v>0</v>
      </c>
      <c r="N76" s="180"/>
      <c r="P76" s="165"/>
      <c r="R76" s="162">
        <f>L76-'PAY EST 3'!L75</f>
        <v>10060.049999999999</v>
      </c>
    </row>
    <row r="77" spans="1:18">
      <c r="A77" s="256"/>
      <c r="B77" s="23" t="e">
        <f t="shared" si="10"/>
        <v>#N/A</v>
      </c>
      <c r="C77" s="137"/>
      <c r="D77" s="24" t="e">
        <f t="shared" si="11"/>
        <v>#N/A</v>
      </c>
      <c r="E77" s="232" t="e">
        <f t="shared" si="12"/>
        <v>#N/A</v>
      </c>
      <c r="F77" s="225" t="e">
        <f t="shared" si="13"/>
        <v>#N/A</v>
      </c>
      <c r="G77" s="227"/>
      <c r="H77" s="227"/>
      <c r="I77" s="167" t="e">
        <f t="shared" si="17"/>
        <v>#N/A</v>
      </c>
      <c r="J77" s="162">
        <f t="shared" si="14"/>
        <v>0</v>
      </c>
      <c r="K77" s="162">
        <f t="shared" si="15"/>
        <v>0</v>
      </c>
      <c r="L77" s="162">
        <f t="shared" si="16"/>
        <v>0</v>
      </c>
      <c r="M77" s="162">
        <f t="shared" si="18"/>
        <v>0</v>
      </c>
      <c r="N77" s="180"/>
      <c r="P77" s="165"/>
      <c r="R77" s="162">
        <f>L77-'PAY EST 3'!L76</f>
        <v>0</v>
      </c>
    </row>
    <row r="78" spans="1:18">
      <c r="A78" s="256" t="s">
        <v>273</v>
      </c>
      <c r="B78" s="23" t="str">
        <f t="shared" si="10"/>
        <v>Construction Survey/Staking</v>
      </c>
      <c r="C78" s="137"/>
      <c r="D78" s="24" t="str">
        <f t="shared" si="11"/>
        <v>ls</v>
      </c>
      <c r="E78" s="232">
        <f t="shared" si="12"/>
        <v>16065</v>
      </c>
      <c r="F78" s="225">
        <f t="shared" si="13"/>
        <v>1</v>
      </c>
      <c r="G78" s="227"/>
      <c r="H78" s="227">
        <v>1</v>
      </c>
      <c r="I78" s="167">
        <f t="shared" si="17"/>
        <v>0</v>
      </c>
      <c r="J78" s="162">
        <f>IF(ISERROR(F78*E78),0,F78*E78)</f>
        <v>16065</v>
      </c>
      <c r="K78" s="162">
        <f>IF(ISERROR(G78*E78),0,G78*E78)</f>
        <v>0</v>
      </c>
      <c r="L78" s="162">
        <f>IF(ISERROR(H78*E78),0,H78*E78)</f>
        <v>16065</v>
      </c>
      <c r="M78" s="162">
        <f t="shared" ref="M78:M108" si="19">SUM(J78:K78)-L78</f>
        <v>0</v>
      </c>
      <c r="N78" s="180"/>
      <c r="P78" s="165"/>
      <c r="R78" s="162">
        <f>L78-'PAY EST 3'!L77</f>
        <v>9639</v>
      </c>
    </row>
    <row r="79" spans="1:18">
      <c r="A79" s="256" t="s">
        <v>274</v>
      </c>
      <c r="B79" s="23" t="str">
        <f t="shared" si="10"/>
        <v>Pedestrian Facility Construction Survey &amp; Staking</v>
      </c>
      <c r="C79" s="137"/>
      <c r="D79" s="24" t="str">
        <f t="shared" si="11"/>
        <v>ea</v>
      </c>
      <c r="E79" s="232">
        <f t="shared" si="12"/>
        <v>275</v>
      </c>
      <c r="F79" s="225">
        <f t="shared" si="13"/>
        <v>13</v>
      </c>
      <c r="G79" s="227">
        <v>3</v>
      </c>
      <c r="H79" s="227">
        <v>16</v>
      </c>
      <c r="I79" s="167">
        <f t="shared" si="17"/>
        <v>0</v>
      </c>
      <c r="J79" s="162">
        <f t="shared" ref="J79:J108" si="20">IF(ISERROR(F79*E79),0,F79*E79)</f>
        <v>3575</v>
      </c>
      <c r="K79" s="162">
        <f t="shared" ref="K79:K108" si="21">IF(ISERROR(G79*E79),0,G79*E79)</f>
        <v>825</v>
      </c>
      <c r="L79" s="162">
        <f t="shared" ref="L79:L108" si="22">IF(ISERROR(H79*E79),0,H79*E79)</f>
        <v>4400</v>
      </c>
      <c r="M79" s="162">
        <f t="shared" si="19"/>
        <v>0</v>
      </c>
      <c r="N79" s="180"/>
      <c r="P79" s="165"/>
      <c r="R79" s="162">
        <f>L79-'PAY EST 3'!L78</f>
        <v>4400</v>
      </c>
    </row>
    <row r="80" spans="1:18">
      <c r="A80" s="256" t="s">
        <v>275</v>
      </c>
      <c r="B80" s="23" t="str">
        <f t="shared" si="10"/>
        <v>Monument Preservation or Replacement</v>
      </c>
      <c r="C80" s="137"/>
      <c r="D80" s="24" t="str">
        <f t="shared" si="11"/>
        <v>ls</v>
      </c>
      <c r="E80" s="231">
        <f t="shared" si="12"/>
        <v>2310</v>
      </c>
      <c r="F80" s="225">
        <f t="shared" si="13"/>
        <v>1</v>
      </c>
      <c r="G80" s="227"/>
      <c r="H80" s="227">
        <v>1</v>
      </c>
      <c r="I80" s="167">
        <f t="shared" si="17"/>
        <v>0</v>
      </c>
      <c r="J80" s="162">
        <f t="shared" si="20"/>
        <v>2310</v>
      </c>
      <c r="K80" s="162">
        <f t="shared" si="21"/>
        <v>0</v>
      </c>
      <c r="L80" s="162">
        <f t="shared" si="22"/>
        <v>2310</v>
      </c>
      <c r="M80" s="162">
        <f t="shared" si="19"/>
        <v>0</v>
      </c>
      <c r="N80" s="180"/>
      <c r="P80" s="165"/>
      <c r="R80" s="162">
        <f>L80-'PAY EST 3'!L79</f>
        <v>2310</v>
      </c>
    </row>
    <row r="81" spans="1:18">
      <c r="A81" s="256" t="s">
        <v>276</v>
      </c>
      <c r="B81" s="23" t="str">
        <f t="shared" si="10"/>
        <v>Mobilization</v>
      </c>
      <c r="C81" s="137"/>
      <c r="D81" s="24" t="str">
        <f t="shared" si="11"/>
        <v>ls</v>
      </c>
      <c r="E81" s="231">
        <f t="shared" si="12"/>
        <v>35000</v>
      </c>
      <c r="F81" s="225">
        <f t="shared" si="13"/>
        <v>1</v>
      </c>
      <c r="G81" s="227"/>
      <c r="H81" s="227">
        <v>1</v>
      </c>
      <c r="I81" s="167">
        <f t="shared" si="17"/>
        <v>0</v>
      </c>
      <c r="J81" s="162">
        <f t="shared" si="20"/>
        <v>35000</v>
      </c>
      <c r="K81" s="162">
        <f t="shared" si="21"/>
        <v>0</v>
      </c>
      <c r="L81" s="162">
        <f t="shared" si="22"/>
        <v>35000</v>
      </c>
      <c r="M81" s="162">
        <f t="shared" si="19"/>
        <v>0</v>
      </c>
      <c r="N81" s="180"/>
      <c r="P81" s="165"/>
      <c r="R81" s="162">
        <f>L81-'PAY EST 3'!L80</f>
        <v>24500</v>
      </c>
    </row>
    <row r="82" spans="1:18">
      <c r="A82" s="256" t="s">
        <v>277</v>
      </c>
      <c r="B82" s="23" t="str">
        <f t="shared" si="10"/>
        <v>Concrete Washout</v>
      </c>
      <c r="C82" s="137"/>
      <c r="D82" s="24" t="str">
        <f t="shared" si="11"/>
        <v>ls</v>
      </c>
      <c r="E82" s="231">
        <f t="shared" si="12"/>
        <v>3900</v>
      </c>
      <c r="F82" s="225">
        <f t="shared" si="13"/>
        <v>1</v>
      </c>
      <c r="G82" s="227">
        <v>-0.5</v>
      </c>
      <c r="H82" s="227">
        <v>0.5</v>
      </c>
      <c r="I82" s="167">
        <f t="shared" si="17"/>
        <v>0</v>
      </c>
      <c r="J82" s="162">
        <f t="shared" si="20"/>
        <v>3900</v>
      </c>
      <c r="K82" s="162">
        <f t="shared" si="21"/>
        <v>-1950</v>
      </c>
      <c r="L82" s="162">
        <f t="shared" si="22"/>
        <v>1950</v>
      </c>
      <c r="M82" s="162">
        <f t="shared" si="19"/>
        <v>0</v>
      </c>
      <c r="N82" s="180"/>
      <c r="P82" s="165"/>
      <c r="R82" s="162">
        <f>L82-'PAY EST 3'!L81</f>
        <v>1950</v>
      </c>
    </row>
    <row r="83" spans="1:18">
      <c r="A83" s="256"/>
      <c r="B83" s="23" t="e">
        <f t="shared" si="10"/>
        <v>#N/A</v>
      </c>
      <c r="C83" s="137"/>
      <c r="D83" s="24" t="e">
        <f t="shared" si="11"/>
        <v>#N/A</v>
      </c>
      <c r="E83" s="231" t="e">
        <f t="shared" si="12"/>
        <v>#N/A</v>
      </c>
      <c r="F83" s="225" t="e">
        <f t="shared" si="13"/>
        <v>#N/A</v>
      </c>
      <c r="G83" s="227"/>
      <c r="H83" s="227"/>
      <c r="I83" s="167" t="e">
        <f t="shared" si="17"/>
        <v>#N/A</v>
      </c>
      <c r="J83" s="162">
        <f t="shared" si="20"/>
        <v>0</v>
      </c>
      <c r="K83" s="162">
        <f t="shared" si="21"/>
        <v>0</v>
      </c>
      <c r="L83" s="162">
        <f t="shared" si="22"/>
        <v>0</v>
      </c>
      <c r="M83" s="162">
        <f t="shared" si="19"/>
        <v>0</v>
      </c>
      <c r="N83" s="180"/>
      <c r="P83" s="165"/>
      <c r="R83" s="354">
        <f>L83-'PAY EST 3'!L82</f>
        <v>0</v>
      </c>
    </row>
    <row r="84" spans="1:18">
      <c r="A84" s="256"/>
      <c r="B84" s="23" t="e">
        <f t="shared" si="10"/>
        <v>#N/A</v>
      </c>
      <c r="C84" s="137"/>
      <c r="D84" s="24" t="e">
        <f t="shared" si="11"/>
        <v>#N/A</v>
      </c>
      <c r="E84" s="231" t="e">
        <f t="shared" si="12"/>
        <v>#N/A</v>
      </c>
      <c r="F84" s="225" t="e">
        <f t="shared" si="13"/>
        <v>#N/A</v>
      </c>
      <c r="G84" s="227"/>
      <c r="H84" s="227">
        <v>0</v>
      </c>
      <c r="I84" s="167" t="e">
        <f t="shared" si="17"/>
        <v>#N/A</v>
      </c>
      <c r="J84" s="162">
        <f t="shared" si="20"/>
        <v>0</v>
      </c>
      <c r="K84" s="162">
        <f t="shared" si="21"/>
        <v>0</v>
      </c>
      <c r="L84" s="162">
        <f t="shared" si="22"/>
        <v>0</v>
      </c>
      <c r="M84" s="162">
        <f t="shared" si="19"/>
        <v>0</v>
      </c>
      <c r="N84" s="180"/>
      <c r="P84" s="165"/>
      <c r="R84" s="354">
        <f>L84-'PAY EST 3'!L83</f>
        <v>0</v>
      </c>
    </row>
    <row r="85" spans="1:18">
      <c r="A85" s="256"/>
      <c r="B85" s="23" t="e">
        <f t="shared" si="10"/>
        <v>#N/A</v>
      </c>
      <c r="C85" s="137"/>
      <c r="D85" s="24" t="e">
        <f t="shared" si="11"/>
        <v>#N/A</v>
      </c>
      <c r="E85" s="231" t="e">
        <f t="shared" si="12"/>
        <v>#N/A</v>
      </c>
      <c r="F85" s="225" t="e">
        <f t="shared" si="13"/>
        <v>#N/A</v>
      </c>
      <c r="G85" s="227"/>
      <c r="H85" s="227"/>
      <c r="I85" s="167" t="e">
        <f t="shared" si="17"/>
        <v>#N/A</v>
      </c>
      <c r="J85" s="162">
        <f t="shared" si="20"/>
        <v>0</v>
      </c>
      <c r="K85" s="162">
        <f t="shared" si="21"/>
        <v>0</v>
      </c>
      <c r="L85" s="162">
        <f t="shared" si="22"/>
        <v>0</v>
      </c>
      <c r="M85" s="162">
        <f t="shared" si="19"/>
        <v>0</v>
      </c>
      <c r="N85" s="180"/>
      <c r="P85" s="165"/>
      <c r="R85" s="354">
        <f>L85-'PAY EST 3'!L84</f>
        <v>0</v>
      </c>
    </row>
    <row r="86" spans="1:18">
      <c r="A86" s="256"/>
      <c r="B86" s="23" t="e">
        <f t="shared" si="10"/>
        <v>#N/A</v>
      </c>
      <c r="C86" s="137"/>
      <c r="D86" s="24" t="e">
        <f t="shared" si="11"/>
        <v>#N/A</v>
      </c>
      <c r="E86" s="231" t="e">
        <f t="shared" si="12"/>
        <v>#N/A</v>
      </c>
      <c r="F86" s="225" t="e">
        <f t="shared" si="13"/>
        <v>#N/A</v>
      </c>
      <c r="G86" s="227"/>
      <c r="H86" s="227"/>
      <c r="I86" s="167" t="e">
        <f t="shared" si="17"/>
        <v>#N/A</v>
      </c>
      <c r="J86" s="162">
        <f t="shared" si="20"/>
        <v>0</v>
      </c>
      <c r="K86" s="162">
        <f t="shared" si="21"/>
        <v>0</v>
      </c>
      <c r="L86" s="162">
        <f t="shared" si="22"/>
        <v>0</v>
      </c>
      <c r="M86" s="162">
        <f t="shared" si="19"/>
        <v>0</v>
      </c>
      <c r="N86" s="180"/>
      <c r="P86" s="165"/>
      <c r="R86" s="354">
        <f>L86-'PAY EST 3'!L85</f>
        <v>0</v>
      </c>
    </row>
    <row r="87" spans="1:18">
      <c r="A87" s="256"/>
      <c r="B87" s="23" t="e">
        <f t="shared" si="10"/>
        <v>#N/A</v>
      </c>
      <c r="C87" s="137"/>
      <c r="D87" s="24" t="e">
        <f t="shared" si="11"/>
        <v>#N/A</v>
      </c>
      <c r="E87" s="231" t="e">
        <f t="shared" si="12"/>
        <v>#N/A</v>
      </c>
      <c r="F87" s="225" t="e">
        <f t="shared" si="13"/>
        <v>#N/A</v>
      </c>
      <c r="G87" s="227"/>
      <c r="H87" s="227"/>
      <c r="I87" s="167" t="e">
        <f t="shared" si="17"/>
        <v>#N/A</v>
      </c>
      <c r="J87" s="162">
        <f t="shared" si="20"/>
        <v>0</v>
      </c>
      <c r="K87" s="162">
        <f t="shared" si="21"/>
        <v>0</v>
      </c>
      <c r="L87" s="162">
        <f t="shared" si="22"/>
        <v>0</v>
      </c>
      <c r="M87" s="162">
        <f t="shared" si="19"/>
        <v>0</v>
      </c>
      <c r="N87" s="180"/>
      <c r="P87" s="165"/>
      <c r="R87" s="354">
        <f>L87-'PAY EST 3'!L86</f>
        <v>0</v>
      </c>
    </row>
    <row r="88" spans="1:18">
      <c r="A88" s="256"/>
      <c r="B88" s="23" t="e">
        <f t="shared" si="10"/>
        <v>#N/A</v>
      </c>
      <c r="C88" s="137"/>
      <c r="D88" s="24" t="e">
        <f t="shared" si="11"/>
        <v>#N/A</v>
      </c>
      <c r="E88" s="231" t="e">
        <f t="shared" si="12"/>
        <v>#N/A</v>
      </c>
      <c r="F88" s="225" t="e">
        <f t="shared" si="13"/>
        <v>#N/A</v>
      </c>
      <c r="G88" s="227"/>
      <c r="H88" s="227"/>
      <c r="I88" s="167" t="e">
        <f t="shared" si="17"/>
        <v>#N/A</v>
      </c>
      <c r="J88" s="162">
        <f t="shared" si="20"/>
        <v>0</v>
      </c>
      <c r="K88" s="162">
        <f t="shared" si="21"/>
        <v>0</v>
      </c>
      <c r="L88" s="162">
        <f t="shared" si="22"/>
        <v>0</v>
      </c>
      <c r="M88" s="162">
        <f t="shared" si="19"/>
        <v>0</v>
      </c>
      <c r="N88" s="180"/>
      <c r="P88" s="165"/>
      <c r="R88" s="354">
        <f>L88-'PAY EST 3'!L87</f>
        <v>0</v>
      </c>
    </row>
    <row r="89" spans="1:18">
      <c r="A89" s="256"/>
      <c r="B89" s="23" t="e">
        <f t="shared" si="10"/>
        <v>#N/A</v>
      </c>
      <c r="C89" s="137"/>
      <c r="D89" s="24" t="e">
        <f t="shared" si="11"/>
        <v>#N/A</v>
      </c>
      <c r="E89" s="231" t="e">
        <f t="shared" si="12"/>
        <v>#N/A</v>
      </c>
      <c r="F89" s="225" t="e">
        <f t="shared" si="13"/>
        <v>#N/A</v>
      </c>
      <c r="G89" s="227"/>
      <c r="H89" s="227"/>
      <c r="I89" s="167" t="e">
        <f t="shared" si="17"/>
        <v>#N/A</v>
      </c>
      <c r="J89" s="162">
        <f t="shared" si="20"/>
        <v>0</v>
      </c>
      <c r="K89" s="162">
        <f t="shared" si="21"/>
        <v>0</v>
      </c>
      <c r="L89" s="162">
        <f t="shared" si="22"/>
        <v>0</v>
      </c>
      <c r="M89" s="162">
        <f t="shared" si="19"/>
        <v>0</v>
      </c>
      <c r="N89" s="180"/>
      <c r="P89" s="165"/>
      <c r="R89" s="354">
        <f>L89-'PAY EST 3'!L88</f>
        <v>0</v>
      </c>
    </row>
    <row r="90" spans="1:18" hidden="1">
      <c r="A90" s="256"/>
      <c r="B90" s="23" t="e">
        <f t="shared" si="10"/>
        <v>#N/A</v>
      </c>
      <c r="C90" s="137"/>
      <c r="D90" s="24" t="e">
        <f t="shared" si="11"/>
        <v>#N/A</v>
      </c>
      <c r="E90" s="231" t="e">
        <f t="shared" si="12"/>
        <v>#N/A</v>
      </c>
      <c r="F90" s="225" t="e">
        <f t="shared" si="13"/>
        <v>#N/A</v>
      </c>
      <c r="G90" s="227"/>
      <c r="H90" s="227"/>
      <c r="I90" s="167" t="e">
        <f t="shared" si="17"/>
        <v>#N/A</v>
      </c>
      <c r="J90" s="162">
        <f t="shared" si="20"/>
        <v>0</v>
      </c>
      <c r="K90" s="162">
        <f t="shared" si="21"/>
        <v>0</v>
      </c>
      <c r="L90" s="162">
        <f t="shared" si="22"/>
        <v>0</v>
      </c>
      <c r="M90" s="162">
        <f t="shared" si="19"/>
        <v>0</v>
      </c>
      <c r="N90" s="180"/>
      <c r="P90" s="165"/>
      <c r="R90" s="354">
        <f>L90-'PAY EST 3'!L89</f>
        <v>0</v>
      </c>
    </row>
    <row r="91" spans="1:18" hidden="1">
      <c r="A91" s="256"/>
      <c r="B91" s="23" t="e">
        <f t="shared" si="10"/>
        <v>#N/A</v>
      </c>
      <c r="C91" s="137"/>
      <c r="D91" s="24" t="e">
        <f t="shared" si="11"/>
        <v>#N/A</v>
      </c>
      <c r="E91" s="231" t="e">
        <f t="shared" si="12"/>
        <v>#N/A</v>
      </c>
      <c r="F91" s="225" t="e">
        <f t="shared" si="13"/>
        <v>#N/A</v>
      </c>
      <c r="G91" s="227"/>
      <c r="H91" s="227"/>
      <c r="I91" s="167" t="e">
        <f t="shared" si="17"/>
        <v>#N/A</v>
      </c>
      <c r="J91" s="162">
        <f t="shared" si="20"/>
        <v>0</v>
      </c>
      <c r="K91" s="162">
        <f t="shared" si="21"/>
        <v>0</v>
      </c>
      <c r="L91" s="162">
        <f t="shared" si="22"/>
        <v>0</v>
      </c>
      <c r="M91" s="162">
        <f t="shared" si="19"/>
        <v>0</v>
      </c>
      <c r="N91" s="180"/>
      <c r="P91" s="165"/>
      <c r="R91" s="354">
        <f>L91-'PAY EST 3'!L90</f>
        <v>0</v>
      </c>
    </row>
    <row r="92" spans="1:18" hidden="1">
      <c r="A92" s="256"/>
      <c r="B92" s="23" t="e">
        <f t="shared" si="10"/>
        <v>#N/A</v>
      </c>
      <c r="C92" s="137"/>
      <c r="D92" s="24" t="e">
        <f t="shared" si="11"/>
        <v>#N/A</v>
      </c>
      <c r="E92" s="231" t="e">
        <f t="shared" si="12"/>
        <v>#N/A</v>
      </c>
      <c r="F92" s="225" t="e">
        <f t="shared" si="13"/>
        <v>#N/A</v>
      </c>
      <c r="G92" s="227"/>
      <c r="H92" s="227"/>
      <c r="I92" s="167" t="e">
        <f t="shared" si="17"/>
        <v>#N/A</v>
      </c>
      <c r="J92" s="162">
        <f t="shared" si="20"/>
        <v>0</v>
      </c>
      <c r="K92" s="162">
        <f t="shared" si="21"/>
        <v>0</v>
      </c>
      <c r="L92" s="162">
        <f t="shared" si="22"/>
        <v>0</v>
      </c>
      <c r="M92" s="162">
        <f t="shared" si="19"/>
        <v>0</v>
      </c>
      <c r="N92" s="180"/>
      <c r="P92" s="165"/>
      <c r="R92" s="354">
        <f>L92-'PAY EST 3'!L91</f>
        <v>0</v>
      </c>
    </row>
    <row r="93" spans="1:18" hidden="1">
      <c r="A93" s="256"/>
      <c r="B93" s="23" t="e">
        <f t="shared" si="10"/>
        <v>#N/A</v>
      </c>
      <c r="C93" s="137"/>
      <c r="D93" s="24" t="e">
        <f t="shared" si="11"/>
        <v>#N/A</v>
      </c>
      <c r="E93" s="231" t="e">
        <f t="shared" si="12"/>
        <v>#N/A</v>
      </c>
      <c r="F93" s="225" t="e">
        <f t="shared" si="13"/>
        <v>#N/A</v>
      </c>
      <c r="G93" s="227"/>
      <c r="H93" s="227"/>
      <c r="I93" s="167" t="e">
        <f t="shared" si="17"/>
        <v>#N/A</v>
      </c>
      <c r="J93" s="162">
        <f t="shared" si="20"/>
        <v>0</v>
      </c>
      <c r="K93" s="162">
        <f t="shared" si="21"/>
        <v>0</v>
      </c>
      <c r="L93" s="162">
        <f t="shared" si="22"/>
        <v>0</v>
      </c>
      <c r="M93" s="162">
        <f t="shared" si="19"/>
        <v>0</v>
      </c>
      <c r="N93" s="180"/>
      <c r="P93" s="165"/>
      <c r="R93" s="354">
        <f>L93-'PAY EST 3'!L92</f>
        <v>0</v>
      </c>
    </row>
    <row r="94" spans="1:18" hidden="1">
      <c r="A94" s="256"/>
      <c r="B94" s="23" t="e">
        <f t="shared" si="10"/>
        <v>#N/A</v>
      </c>
      <c r="C94" s="137"/>
      <c r="D94" s="24" t="e">
        <f t="shared" si="11"/>
        <v>#N/A</v>
      </c>
      <c r="E94" s="231" t="e">
        <f t="shared" si="12"/>
        <v>#N/A</v>
      </c>
      <c r="F94" s="225" t="e">
        <f t="shared" si="13"/>
        <v>#N/A</v>
      </c>
      <c r="G94" s="227"/>
      <c r="H94" s="227"/>
      <c r="I94" s="167" t="e">
        <f t="shared" si="17"/>
        <v>#N/A</v>
      </c>
      <c r="J94" s="162">
        <f t="shared" si="20"/>
        <v>0</v>
      </c>
      <c r="K94" s="162">
        <f t="shared" si="21"/>
        <v>0</v>
      </c>
      <c r="L94" s="162">
        <f t="shared" si="22"/>
        <v>0</v>
      </c>
      <c r="M94" s="162">
        <f t="shared" si="19"/>
        <v>0</v>
      </c>
      <c r="N94" s="180"/>
      <c r="P94" s="165"/>
      <c r="R94" s="354">
        <f>L94-'PAY EST 3'!L93</f>
        <v>0</v>
      </c>
    </row>
    <row r="95" spans="1:18" hidden="1">
      <c r="A95" s="256"/>
      <c r="B95" s="23" t="e">
        <f t="shared" si="10"/>
        <v>#N/A</v>
      </c>
      <c r="C95" s="137"/>
      <c r="D95" s="24" t="e">
        <f t="shared" si="11"/>
        <v>#N/A</v>
      </c>
      <c r="E95" s="231" t="e">
        <f t="shared" si="12"/>
        <v>#N/A</v>
      </c>
      <c r="F95" s="225" t="e">
        <f t="shared" si="13"/>
        <v>#N/A</v>
      </c>
      <c r="G95" s="227"/>
      <c r="H95" s="227"/>
      <c r="I95" s="167" t="e">
        <f t="shared" si="17"/>
        <v>#N/A</v>
      </c>
      <c r="J95" s="162">
        <f t="shared" si="20"/>
        <v>0</v>
      </c>
      <c r="K95" s="162">
        <f t="shared" si="21"/>
        <v>0</v>
      </c>
      <c r="L95" s="162">
        <f t="shared" si="22"/>
        <v>0</v>
      </c>
      <c r="M95" s="162">
        <f t="shared" si="19"/>
        <v>0</v>
      </c>
      <c r="N95" s="180"/>
      <c r="P95" s="165"/>
      <c r="R95" s="354">
        <f>L95-'PAY EST 3'!L94</f>
        <v>0</v>
      </c>
    </row>
    <row r="96" spans="1:18" hidden="1">
      <c r="A96" s="256"/>
      <c r="B96" s="23" t="e">
        <f t="shared" si="10"/>
        <v>#N/A</v>
      </c>
      <c r="C96" s="137"/>
      <c r="D96" s="24" t="e">
        <f t="shared" si="11"/>
        <v>#N/A</v>
      </c>
      <c r="E96" s="231" t="e">
        <f t="shared" si="12"/>
        <v>#N/A</v>
      </c>
      <c r="F96" s="225" t="e">
        <f t="shared" si="13"/>
        <v>#N/A</v>
      </c>
      <c r="G96" s="227"/>
      <c r="H96" s="227"/>
      <c r="I96" s="167" t="e">
        <f t="shared" si="17"/>
        <v>#N/A</v>
      </c>
      <c r="J96" s="162">
        <f t="shared" si="20"/>
        <v>0</v>
      </c>
      <c r="K96" s="162">
        <f t="shared" si="21"/>
        <v>0</v>
      </c>
      <c r="L96" s="162">
        <f t="shared" si="22"/>
        <v>0</v>
      </c>
      <c r="M96" s="162">
        <f t="shared" si="19"/>
        <v>0</v>
      </c>
      <c r="N96" s="180"/>
      <c r="P96" s="165"/>
      <c r="R96" s="354">
        <f>L96-'PAY EST 3'!L95</f>
        <v>0</v>
      </c>
    </row>
    <row r="97" spans="1:19" hidden="1">
      <c r="A97" s="256"/>
      <c r="B97" s="23" t="e">
        <f t="shared" si="10"/>
        <v>#N/A</v>
      </c>
      <c r="C97" s="137"/>
      <c r="D97" s="24" t="e">
        <f t="shared" si="11"/>
        <v>#N/A</v>
      </c>
      <c r="E97" s="231" t="e">
        <f t="shared" si="12"/>
        <v>#N/A</v>
      </c>
      <c r="F97" s="225" t="e">
        <f t="shared" si="13"/>
        <v>#N/A</v>
      </c>
      <c r="G97" s="227"/>
      <c r="H97" s="227"/>
      <c r="I97" s="167" t="e">
        <f t="shared" si="17"/>
        <v>#N/A</v>
      </c>
      <c r="J97" s="162">
        <f t="shared" si="20"/>
        <v>0</v>
      </c>
      <c r="K97" s="162">
        <f t="shared" si="21"/>
        <v>0</v>
      </c>
      <c r="L97" s="162">
        <f t="shared" si="22"/>
        <v>0</v>
      </c>
      <c r="M97" s="162">
        <f t="shared" si="19"/>
        <v>0</v>
      </c>
      <c r="N97" s="180"/>
      <c r="P97" s="165"/>
      <c r="R97" s="354">
        <f>L97-'PAY EST 3'!L96</f>
        <v>0</v>
      </c>
    </row>
    <row r="98" spans="1:19" hidden="1">
      <c r="A98" s="256"/>
      <c r="B98" s="23" t="e">
        <f t="shared" si="10"/>
        <v>#N/A</v>
      </c>
      <c r="C98" s="137"/>
      <c r="D98" s="24" t="e">
        <f t="shared" si="11"/>
        <v>#N/A</v>
      </c>
      <c r="E98" s="231" t="e">
        <f t="shared" si="12"/>
        <v>#N/A</v>
      </c>
      <c r="F98" s="225" t="e">
        <f t="shared" si="13"/>
        <v>#N/A</v>
      </c>
      <c r="G98" s="227"/>
      <c r="H98" s="227"/>
      <c r="I98" s="167" t="e">
        <f t="shared" si="17"/>
        <v>#N/A</v>
      </c>
      <c r="J98" s="162">
        <f t="shared" si="20"/>
        <v>0</v>
      </c>
      <c r="K98" s="162">
        <f t="shared" si="21"/>
        <v>0</v>
      </c>
      <c r="L98" s="162">
        <f t="shared" si="22"/>
        <v>0</v>
      </c>
      <c r="M98" s="162">
        <f t="shared" si="19"/>
        <v>0</v>
      </c>
      <c r="N98" s="180"/>
      <c r="P98" s="165"/>
      <c r="R98" s="354">
        <f>L98-'PAY EST 3'!L97</f>
        <v>0</v>
      </c>
    </row>
    <row r="99" spans="1:19" hidden="1">
      <c r="A99" s="256"/>
      <c r="B99" s="23" t="e">
        <f t="shared" si="10"/>
        <v>#N/A</v>
      </c>
      <c r="C99" s="137"/>
      <c r="D99" s="24" t="e">
        <f t="shared" si="11"/>
        <v>#N/A</v>
      </c>
      <c r="E99" s="231" t="e">
        <f t="shared" si="12"/>
        <v>#N/A</v>
      </c>
      <c r="F99" s="225" t="e">
        <f t="shared" si="13"/>
        <v>#N/A</v>
      </c>
      <c r="G99" s="227"/>
      <c r="H99" s="227"/>
      <c r="I99" s="167" t="e">
        <f t="shared" si="17"/>
        <v>#N/A</v>
      </c>
      <c r="J99" s="162">
        <f t="shared" si="20"/>
        <v>0</v>
      </c>
      <c r="K99" s="162">
        <f t="shared" si="21"/>
        <v>0</v>
      </c>
      <c r="L99" s="162">
        <f t="shared" si="22"/>
        <v>0</v>
      </c>
      <c r="M99" s="162">
        <f t="shared" si="19"/>
        <v>0</v>
      </c>
      <c r="N99" s="180"/>
      <c r="P99" s="165"/>
      <c r="R99" s="354">
        <f>L99-'PAY EST 3'!L98</f>
        <v>0</v>
      </c>
    </row>
    <row r="100" spans="1:19" hidden="1">
      <c r="A100" s="256"/>
      <c r="B100" s="23" t="e">
        <f t="shared" si="10"/>
        <v>#N/A</v>
      </c>
      <c r="C100" s="137"/>
      <c r="D100" s="24" t="e">
        <f t="shared" si="11"/>
        <v>#N/A</v>
      </c>
      <c r="E100" s="231" t="e">
        <f t="shared" si="12"/>
        <v>#N/A</v>
      </c>
      <c r="F100" s="225" t="e">
        <f t="shared" si="13"/>
        <v>#N/A</v>
      </c>
      <c r="G100" s="227"/>
      <c r="H100" s="227"/>
      <c r="I100" s="167" t="e">
        <f t="shared" si="17"/>
        <v>#N/A</v>
      </c>
      <c r="J100" s="162">
        <f t="shared" si="20"/>
        <v>0</v>
      </c>
      <c r="K100" s="162">
        <f t="shared" si="21"/>
        <v>0</v>
      </c>
      <c r="L100" s="162">
        <f t="shared" si="22"/>
        <v>0</v>
      </c>
      <c r="M100" s="162">
        <f t="shared" si="19"/>
        <v>0</v>
      </c>
      <c r="N100" s="180"/>
      <c r="P100" s="165"/>
      <c r="R100" s="354">
        <f>L100-'PAY EST 3'!L99</f>
        <v>0</v>
      </c>
    </row>
    <row r="101" spans="1:19" hidden="1">
      <c r="A101" s="256"/>
      <c r="B101" s="23" t="e">
        <f t="shared" si="10"/>
        <v>#N/A</v>
      </c>
      <c r="C101" s="137"/>
      <c r="D101" s="24" t="e">
        <f t="shared" si="11"/>
        <v>#N/A</v>
      </c>
      <c r="E101" s="231" t="e">
        <f t="shared" si="12"/>
        <v>#N/A</v>
      </c>
      <c r="F101" s="225" t="e">
        <f t="shared" si="13"/>
        <v>#N/A</v>
      </c>
      <c r="G101" s="227"/>
      <c r="H101" s="227"/>
      <c r="I101" s="167" t="e">
        <f t="shared" si="17"/>
        <v>#N/A</v>
      </c>
      <c r="J101" s="162">
        <f t="shared" si="20"/>
        <v>0</v>
      </c>
      <c r="K101" s="162">
        <f t="shared" si="21"/>
        <v>0</v>
      </c>
      <c r="L101" s="162">
        <f t="shared" si="22"/>
        <v>0</v>
      </c>
      <c r="M101" s="162">
        <f t="shared" si="19"/>
        <v>0</v>
      </c>
      <c r="N101" s="180"/>
      <c r="P101" s="165"/>
      <c r="R101" s="354">
        <f>L101-'PAY EST 3'!L100</f>
        <v>0</v>
      </c>
    </row>
    <row r="102" spans="1:19" hidden="1">
      <c r="A102" s="256"/>
      <c r="B102" s="23" t="e">
        <f t="shared" si="10"/>
        <v>#N/A</v>
      </c>
      <c r="C102" s="137"/>
      <c r="D102" s="24" t="e">
        <f t="shared" si="11"/>
        <v>#N/A</v>
      </c>
      <c r="E102" s="231" t="e">
        <f t="shared" si="12"/>
        <v>#N/A</v>
      </c>
      <c r="F102" s="225" t="e">
        <f t="shared" si="13"/>
        <v>#N/A</v>
      </c>
      <c r="G102" s="227"/>
      <c r="H102" s="227"/>
      <c r="I102" s="167" t="e">
        <f t="shared" si="17"/>
        <v>#N/A</v>
      </c>
      <c r="J102" s="162">
        <f t="shared" si="20"/>
        <v>0</v>
      </c>
      <c r="K102" s="162">
        <f t="shared" si="21"/>
        <v>0</v>
      </c>
      <c r="L102" s="162">
        <f t="shared" si="22"/>
        <v>0</v>
      </c>
      <c r="M102" s="162">
        <f t="shared" si="19"/>
        <v>0</v>
      </c>
      <c r="N102" s="180"/>
      <c r="P102" s="165"/>
      <c r="R102" s="354">
        <f>L102-'PAY EST 3'!L101</f>
        <v>0</v>
      </c>
    </row>
    <row r="103" spans="1:19" hidden="1">
      <c r="A103" s="256"/>
      <c r="B103" s="23" t="e">
        <f t="shared" si="10"/>
        <v>#N/A</v>
      </c>
      <c r="C103" s="137"/>
      <c r="D103" s="24" t="e">
        <f t="shared" si="11"/>
        <v>#N/A</v>
      </c>
      <c r="E103" s="231" t="e">
        <f t="shared" si="12"/>
        <v>#N/A</v>
      </c>
      <c r="F103" s="225" t="e">
        <f t="shared" si="13"/>
        <v>#N/A</v>
      </c>
      <c r="G103" s="227"/>
      <c r="H103" s="227"/>
      <c r="I103" s="167" t="e">
        <f t="shared" si="17"/>
        <v>#N/A</v>
      </c>
      <c r="J103" s="162">
        <f t="shared" si="20"/>
        <v>0</v>
      </c>
      <c r="K103" s="162">
        <f t="shared" si="21"/>
        <v>0</v>
      </c>
      <c r="L103" s="162">
        <f t="shared" si="22"/>
        <v>0</v>
      </c>
      <c r="M103" s="162">
        <f t="shared" si="19"/>
        <v>0</v>
      </c>
      <c r="N103" s="180"/>
      <c r="P103" s="165"/>
      <c r="R103" s="354">
        <f>L103-'PAY EST 3'!L102</f>
        <v>0</v>
      </c>
    </row>
    <row r="104" spans="1:19" hidden="1">
      <c r="A104" s="256"/>
      <c r="B104" s="23" t="e">
        <f t="shared" si="10"/>
        <v>#N/A</v>
      </c>
      <c r="C104" s="137"/>
      <c r="D104" s="24" t="e">
        <f t="shared" si="11"/>
        <v>#N/A</v>
      </c>
      <c r="E104" s="231" t="e">
        <f t="shared" si="12"/>
        <v>#N/A</v>
      </c>
      <c r="F104" s="225" t="e">
        <f t="shared" si="13"/>
        <v>#N/A</v>
      </c>
      <c r="G104" s="227"/>
      <c r="H104" s="227"/>
      <c r="I104" s="167" t="e">
        <f t="shared" si="17"/>
        <v>#N/A</v>
      </c>
      <c r="J104" s="162">
        <f t="shared" si="20"/>
        <v>0</v>
      </c>
      <c r="K104" s="162">
        <f t="shared" si="21"/>
        <v>0</v>
      </c>
      <c r="L104" s="162">
        <f t="shared" si="22"/>
        <v>0</v>
      </c>
      <c r="M104" s="162">
        <f t="shared" si="19"/>
        <v>0</v>
      </c>
      <c r="N104" s="180"/>
      <c r="P104" s="165"/>
      <c r="R104" s="354">
        <f>L104-'PAY EST 3'!L103</f>
        <v>0</v>
      </c>
    </row>
    <row r="105" spans="1:19" hidden="1">
      <c r="A105" s="256"/>
      <c r="B105" s="23" t="e">
        <f t="shared" si="10"/>
        <v>#N/A</v>
      </c>
      <c r="C105" s="137"/>
      <c r="D105" s="24" t="e">
        <f t="shared" si="11"/>
        <v>#N/A</v>
      </c>
      <c r="E105" s="231" t="e">
        <f t="shared" si="12"/>
        <v>#N/A</v>
      </c>
      <c r="F105" s="225" t="e">
        <f t="shared" si="13"/>
        <v>#N/A</v>
      </c>
      <c r="G105" s="227"/>
      <c r="H105" s="227"/>
      <c r="I105" s="167" t="e">
        <f t="shared" si="17"/>
        <v>#N/A</v>
      </c>
      <c r="J105" s="162">
        <f t="shared" si="20"/>
        <v>0</v>
      </c>
      <c r="K105" s="162">
        <f t="shared" si="21"/>
        <v>0</v>
      </c>
      <c r="L105" s="162">
        <f t="shared" si="22"/>
        <v>0</v>
      </c>
      <c r="M105" s="162">
        <f t="shared" si="19"/>
        <v>0</v>
      </c>
      <c r="N105" s="180"/>
      <c r="P105" s="165"/>
      <c r="R105" s="354">
        <f>L105-'PAY EST 3'!L104</f>
        <v>0</v>
      </c>
    </row>
    <row r="106" spans="1:19" hidden="1">
      <c r="A106" s="256"/>
      <c r="B106" s="23" t="e">
        <f t="shared" si="10"/>
        <v>#N/A</v>
      </c>
      <c r="C106" s="137"/>
      <c r="D106" s="24" t="e">
        <f t="shared" si="11"/>
        <v>#N/A</v>
      </c>
      <c r="E106" s="231" t="e">
        <f t="shared" si="12"/>
        <v>#N/A</v>
      </c>
      <c r="F106" s="225" t="e">
        <f t="shared" si="13"/>
        <v>#N/A</v>
      </c>
      <c r="G106" s="227"/>
      <c r="H106" s="227"/>
      <c r="I106" s="167" t="e">
        <f t="shared" si="17"/>
        <v>#N/A</v>
      </c>
      <c r="J106" s="162">
        <f t="shared" si="20"/>
        <v>0</v>
      </c>
      <c r="K106" s="162">
        <f t="shared" si="21"/>
        <v>0</v>
      </c>
      <c r="L106" s="162">
        <f t="shared" si="22"/>
        <v>0</v>
      </c>
      <c r="M106" s="162">
        <f t="shared" si="19"/>
        <v>0</v>
      </c>
      <c r="N106" s="180"/>
      <c r="P106" s="165"/>
      <c r="R106" s="354">
        <f>L106-'PAY EST 3'!L105</f>
        <v>0</v>
      </c>
    </row>
    <row r="107" spans="1:19" hidden="1">
      <c r="A107" s="256"/>
      <c r="B107" s="23" t="e">
        <f t="shared" si="10"/>
        <v>#N/A</v>
      </c>
      <c r="C107" s="137"/>
      <c r="D107" s="24" t="e">
        <f t="shared" si="11"/>
        <v>#N/A</v>
      </c>
      <c r="E107" s="231" t="e">
        <f t="shared" si="12"/>
        <v>#N/A</v>
      </c>
      <c r="F107" s="225" t="e">
        <f t="shared" si="13"/>
        <v>#N/A</v>
      </c>
      <c r="G107" s="227"/>
      <c r="H107" s="227"/>
      <c r="I107" s="167" t="e">
        <f t="shared" si="17"/>
        <v>#N/A</v>
      </c>
      <c r="J107" s="162">
        <f t="shared" si="20"/>
        <v>0</v>
      </c>
      <c r="K107" s="162">
        <f t="shared" si="21"/>
        <v>0</v>
      </c>
      <c r="L107" s="162">
        <f t="shared" si="22"/>
        <v>0</v>
      </c>
      <c r="M107" s="162">
        <f t="shared" si="19"/>
        <v>0</v>
      </c>
      <c r="N107" s="180"/>
      <c r="P107" s="165"/>
      <c r="R107" s="354">
        <f>L107-'PAY EST 3'!L106</f>
        <v>0</v>
      </c>
    </row>
    <row r="108" spans="1:19">
      <c r="A108" s="256"/>
      <c r="B108" s="23" t="e">
        <f t="shared" si="10"/>
        <v>#N/A</v>
      </c>
      <c r="C108" s="137"/>
      <c r="D108" s="24" t="e">
        <f t="shared" si="11"/>
        <v>#N/A</v>
      </c>
      <c r="E108" s="231" t="e">
        <f t="shared" si="12"/>
        <v>#N/A</v>
      </c>
      <c r="F108" s="225" t="e">
        <f t="shared" si="13"/>
        <v>#N/A</v>
      </c>
      <c r="G108" s="227"/>
      <c r="H108" s="227"/>
      <c r="I108" s="167" t="e">
        <f t="shared" si="17"/>
        <v>#N/A</v>
      </c>
      <c r="J108" s="162">
        <f t="shared" si="20"/>
        <v>0</v>
      </c>
      <c r="K108" s="162">
        <f t="shared" si="21"/>
        <v>0</v>
      </c>
      <c r="L108" s="162">
        <f t="shared" si="22"/>
        <v>0</v>
      </c>
      <c r="M108" s="162">
        <f t="shared" si="19"/>
        <v>0</v>
      </c>
      <c r="N108" s="180"/>
      <c r="P108" s="165"/>
      <c r="R108" s="354">
        <f>L108-'PAY EST 3'!L107</f>
        <v>0</v>
      </c>
    </row>
    <row r="109" spans="1:19" ht="13.5" thickBot="1">
      <c r="A109" s="257"/>
      <c r="B109" s="181"/>
      <c r="C109" s="181"/>
      <c r="D109" s="182"/>
      <c r="E109" s="183"/>
      <c r="F109" s="228"/>
      <c r="G109" s="229"/>
      <c r="H109" s="229"/>
      <c r="I109" s="230"/>
      <c r="J109" s="183"/>
      <c r="K109" s="183"/>
      <c r="L109" s="183"/>
      <c r="M109" s="184"/>
      <c r="N109" s="180"/>
      <c r="P109" s="165"/>
    </row>
    <row r="110" spans="1:19" ht="13.5" thickTop="1">
      <c r="A110" s="258"/>
      <c r="B110" s="137"/>
      <c r="C110" s="137"/>
      <c r="D110" s="139"/>
      <c r="E110" s="142"/>
      <c r="F110" s="142"/>
      <c r="I110" s="185" t="s">
        <v>115</v>
      </c>
      <c r="J110" s="186">
        <f>SUM(J8:J109)</f>
        <v>1828001.355</v>
      </c>
      <c r="K110" s="186"/>
      <c r="L110" s="188">
        <f>SUM(L8:L109)</f>
        <v>1847444.2875000001</v>
      </c>
      <c r="M110" s="189">
        <f>SUM(M8:M109)</f>
        <v>0</v>
      </c>
      <c r="N110" s="137"/>
      <c r="P110" s="165"/>
      <c r="R110" s="140" t="s">
        <v>296</v>
      </c>
      <c r="S110" s="354">
        <f>SUM(R8:R86)*0.05</f>
        <v>65931.39837499999</v>
      </c>
    </row>
    <row r="111" spans="1:19">
      <c r="A111" s="258" t="s">
        <v>56</v>
      </c>
      <c r="B111" s="137"/>
      <c r="C111" s="137"/>
      <c r="D111" s="139"/>
      <c r="E111" s="137" t="s">
        <v>57</v>
      </c>
      <c r="F111" s="137"/>
      <c r="G111" s="199" t="s">
        <v>119</v>
      </c>
      <c r="H111" s="142"/>
      <c r="K111" s="141"/>
      <c r="L111" s="141"/>
      <c r="M111" s="141" t="s">
        <v>63</v>
      </c>
      <c r="N111" s="165"/>
      <c r="O111" s="145">
        <f>L110</f>
        <v>1847444.2875000001</v>
      </c>
      <c r="P111" s="165"/>
    </row>
    <row r="112" spans="1:19">
      <c r="A112" s="258"/>
      <c r="B112" s="137"/>
      <c r="E112" t="str">
        <f>'PROJECT INFO'!F16</f>
        <v>384-8101-439-7517</v>
      </c>
      <c r="F112"/>
      <c r="G112" s="217">
        <f>'PROJECT INFO'!C16</f>
        <v>0</v>
      </c>
      <c r="H112" s="347">
        <v>0</v>
      </c>
      <c r="I112" t="str">
        <f>'PROJECT INFO'!J16</f>
        <v>(NTE $1,004,711.76)</v>
      </c>
      <c r="L112" s="141"/>
      <c r="M112" s="141" t="s">
        <v>58</v>
      </c>
      <c r="N112" s="165"/>
      <c r="O112" s="145">
        <v>0</v>
      </c>
      <c r="P112" s="165"/>
    </row>
    <row r="113" spans="1:18">
      <c r="A113" s="259" t="s">
        <v>85</v>
      </c>
      <c r="B113" s="190"/>
      <c r="C113" s="190"/>
      <c r="D113" s="207"/>
      <c r="E113" s="344" t="str">
        <f>'PROJECT INFO'!F17</f>
        <v>607-7704-39-7517</v>
      </c>
      <c r="F113" s="344"/>
      <c r="G113" s="217">
        <f>'PROJECT INFO'!C17</f>
        <v>0</v>
      </c>
      <c r="H113" s="347"/>
      <c r="I113" t="str">
        <f>'PROJECT INFO'!J17</f>
        <v>(NTE $300,000.00)</v>
      </c>
      <c r="L113" s="141"/>
      <c r="M113" s="141" t="str">
        <f>IF(Q113="Y","LESS: 3% RETAINED (MAX $30,000):","LESS: 5% RETAINED:")</f>
        <v>LESS: 5% RETAINED:</v>
      </c>
      <c r="N113" s="165"/>
      <c r="O113" s="145">
        <f>IF(Q113="Y",IF(0.03*O111&lt;30000,ROUND(0.03*O111,2),30000),ROUND(0.05*O111,2))</f>
        <v>92372.21</v>
      </c>
      <c r="P113" s="165"/>
      <c r="Q113" s="191" t="s">
        <v>106</v>
      </c>
      <c r="R113" s="192" t="s">
        <v>107</v>
      </c>
    </row>
    <row r="114" spans="1:18">
      <c r="A114" s="258"/>
      <c r="B114" s="137"/>
      <c r="E114" s="345" t="str">
        <f>'PROJECT INFO'!F18</f>
        <v>510-8461489-7514</v>
      </c>
      <c r="F114" s="345"/>
      <c r="G114" s="217">
        <f>'PROJECT INFO'!C18</f>
        <v>0</v>
      </c>
      <c r="H114" s="347">
        <v>0</v>
      </c>
      <c r="I114" t="str">
        <f>'PROJECT INFO'!J18</f>
        <v>(NTE $360,255.50)</v>
      </c>
      <c r="L114" s="141"/>
      <c r="M114" s="141" t="s">
        <v>59</v>
      </c>
      <c r="N114" s="165"/>
      <c r="O114" s="145">
        <f>O111+O112-O113</f>
        <v>1755072.0775000001</v>
      </c>
      <c r="P114" s="165"/>
    </row>
    <row r="115" spans="1:18">
      <c r="A115" s="259" t="s">
        <v>60</v>
      </c>
      <c r="B115" s="190"/>
      <c r="C115" s="190"/>
      <c r="D115" s="207"/>
      <c r="E115" s="346" t="str">
        <f>'PROJECT INFO'!F19</f>
        <v>520-8542-489-7514</v>
      </c>
      <c r="F115" s="346"/>
      <c r="G115" s="217">
        <f>'PROJECT INFO'!C19</f>
        <v>0</v>
      </c>
      <c r="H115" s="347">
        <f>O116</f>
        <v>17879.570000000065</v>
      </c>
      <c r="I115" t="str">
        <f>'PROJECT INFO'!J19</f>
        <v>(NTE $163,034.10)</v>
      </c>
      <c r="L115" s="141"/>
      <c r="M115" s="141" t="s">
        <v>61</v>
      </c>
      <c r="N115" s="165"/>
      <c r="O115" s="145">
        <f>O34</f>
        <v>1737192.5075000001</v>
      </c>
      <c r="P115" s="165"/>
    </row>
    <row r="116" spans="1:18">
      <c r="A116" s="258"/>
      <c r="B116" s="137"/>
      <c r="E116">
        <f>'PROJECT INFO'!F20</f>
        <v>0</v>
      </c>
      <c r="F116"/>
      <c r="G116" s="217">
        <f>'PROJECT INFO'!C20</f>
        <v>0</v>
      </c>
      <c r="H116" s="208"/>
      <c r="I116" t="str">
        <f>'PROJECT INFO'!J20</f>
        <v>(NTE $00.00)</v>
      </c>
      <c r="L116" s="193"/>
      <c r="M116" s="193" t="s">
        <v>62</v>
      </c>
      <c r="N116" s="194"/>
      <c r="O116" s="195">
        <f>O114-O115</f>
        <v>17879.570000000065</v>
      </c>
      <c r="P116" s="165"/>
    </row>
    <row r="117" spans="1:18">
      <c r="A117" s="258"/>
      <c r="B117" s="137"/>
      <c r="C117" s="137"/>
      <c r="D117" s="139"/>
      <c r="E117">
        <f>'PROJECT INFO'!F21</f>
        <v>0</v>
      </c>
      <c r="F117"/>
      <c r="G117" s="217">
        <f>'PROJECT INFO'!C21</f>
        <v>0</v>
      </c>
      <c r="H117" s="208"/>
      <c r="I117" t="str">
        <f>'PROJECT INFO'!J21</f>
        <v>(NTE $00.00)</v>
      </c>
      <c r="K117" s="137"/>
      <c r="L117" s="137"/>
      <c r="M117" s="137"/>
      <c r="N117" s="137"/>
      <c r="O117" s="137"/>
      <c r="P117" s="165"/>
    </row>
    <row r="118" spans="1:18">
      <c r="E118">
        <f>'PROJECT INFO'!F22</f>
        <v>0</v>
      </c>
      <c r="F118"/>
      <c r="G118" s="217">
        <f>'PROJECT INFO'!C22</f>
        <v>0</v>
      </c>
      <c r="H118" s="208"/>
      <c r="I118" t="str">
        <f>'PROJECT INFO'!J22</f>
        <v>(NTE $00.00)</v>
      </c>
    </row>
    <row r="119" spans="1:18">
      <c r="E119">
        <f>'PROJECT INFO'!F23</f>
        <v>0</v>
      </c>
      <c r="F119"/>
      <c r="G119" s="217">
        <f>'PROJECT INFO'!C23</f>
        <v>0</v>
      </c>
      <c r="H119" s="208"/>
      <c r="I119" t="str">
        <f>'PROJECT INFO'!J23</f>
        <v>(NTE $00.00)</v>
      </c>
    </row>
    <row r="120" spans="1:18">
      <c r="D120" s="139"/>
      <c r="E120">
        <f>'PROJECT INFO'!F24</f>
        <v>0</v>
      </c>
      <c r="F120"/>
      <c r="G120" s="217">
        <f>'PROJECT INFO'!C24</f>
        <v>0</v>
      </c>
      <c r="H120" s="208"/>
      <c r="I120" t="str">
        <f>'PROJECT INFO'!J24</f>
        <v>(NTE $00.00)</v>
      </c>
    </row>
    <row r="121" spans="1:18">
      <c r="D121" s="139"/>
      <c r="E121">
        <f>'PROJECT INFO'!F25</f>
        <v>0</v>
      </c>
      <c r="F121"/>
      <c r="G121" s="217">
        <f>'PROJECT INFO'!C25</f>
        <v>0</v>
      </c>
      <c r="H121" s="208"/>
      <c r="I121" t="str">
        <f>'PROJECT INFO'!J25</f>
        <v>(NTE $00.00)</v>
      </c>
    </row>
    <row r="122" spans="1:18">
      <c r="A122" s="261" t="s">
        <v>122</v>
      </c>
      <c r="D122" s="139"/>
      <c r="E122" s="142"/>
      <c r="K122" s="200"/>
      <c r="L122" s="200"/>
      <c r="M122" s="201" t="s">
        <v>108</v>
      </c>
      <c r="N122" s="200"/>
      <c r="O122" s="202">
        <f>O5-O34</f>
        <v>110251.78249999997</v>
      </c>
      <c r="Q122" s="140" t="s">
        <v>121</v>
      </c>
    </row>
    <row r="123" spans="1:18">
      <c r="D123" s="139"/>
      <c r="E123" s="142"/>
      <c r="K123" s="200"/>
      <c r="L123" s="200"/>
      <c r="M123" s="203" t="s">
        <v>109</v>
      </c>
      <c r="N123" s="204"/>
      <c r="O123" s="205">
        <f>O122-O116</f>
        <v>92372.212499999907</v>
      </c>
    </row>
    <row r="124" spans="1:18">
      <c r="E124" s="142"/>
    </row>
    <row r="125" spans="1:18">
      <c r="E125" s="142"/>
    </row>
    <row r="126" spans="1:18">
      <c r="E126" s="142"/>
    </row>
    <row r="127" spans="1:18">
      <c r="E127" s="142"/>
    </row>
    <row r="128" spans="1:18">
      <c r="E128" s="142"/>
      <c r="G128" s="140" t="s">
        <v>294</v>
      </c>
      <c r="H128" s="353">
        <f>SUM(H112:H115)</f>
        <v>17879.570000000065</v>
      </c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E148" s="142"/>
    </row>
    <row r="149" spans="3:5">
      <c r="C149" s="137"/>
      <c r="E149" s="142"/>
    </row>
    <row r="150" spans="3:5">
      <c r="E150" s="142"/>
    </row>
    <row r="151" spans="3:5">
      <c r="E151" s="142"/>
    </row>
  </sheetData>
  <conditionalFormatting sqref="B8:I108">
    <cfRule type="expression" dxfId="7" priority="2">
      <formula>ISERROR(B8)</formula>
    </cfRule>
  </conditionalFormatting>
  <conditionalFormatting sqref="E112:F121 H112:H121">
    <cfRule type="expression" dxfId="6" priority="4">
      <formula>ISTEXT($E112)</formula>
    </cfRule>
  </conditionalFormatting>
  <conditionalFormatting sqref="E112:I121">
    <cfRule type="expression" dxfId="5" priority="1">
      <formula>ISNUMBER($E112)</formula>
    </cfRule>
  </conditionalFormatting>
  <conditionalFormatting sqref="K8:K108">
    <cfRule type="cellIs" dxfId="4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D6954-2912-41CD-9BE4-791C1D834C56}">
  <sheetPr>
    <pageSetUpPr autoPageBreaks="0" fitToPage="1"/>
  </sheetPr>
  <dimension ref="A1:M60"/>
  <sheetViews>
    <sheetView showZeros="0" showOutlineSymbols="0" zoomScaleNormal="100" zoomScaleSheetLayoutView="100" workbookViewId="0">
      <selection activeCell="I16" sqref="I16"/>
    </sheetView>
  </sheetViews>
  <sheetFormatPr defaultColWidth="9.140625" defaultRowHeight="12.75"/>
  <cols>
    <col min="1" max="1" width="4.7109375" style="23" customWidth="1"/>
    <col min="2" max="2" width="5.7109375" style="23" customWidth="1"/>
    <col min="3" max="3" width="39.85546875" style="23" customWidth="1"/>
    <col min="4" max="4" width="4.7109375" style="23" customWidth="1"/>
    <col min="5" max="5" width="3" style="23" customWidth="1"/>
    <col min="6" max="6" width="12.7109375" style="23" customWidth="1"/>
    <col min="7" max="7" width="3" style="23" customWidth="1"/>
    <col min="8" max="8" width="12.7109375" style="23" customWidth="1"/>
    <col min="9" max="9" width="17.7109375" style="23" customWidth="1"/>
    <col min="10" max="10" width="3.7109375" style="23" customWidth="1"/>
    <col min="11" max="11" width="9.140625" style="23"/>
    <col min="12" max="12" width="11.28515625" style="23" customWidth="1"/>
    <col min="13" max="13" width="21.5703125" style="23" customWidth="1"/>
    <col min="14" max="17" width="9.140625" style="23"/>
    <col min="18" max="23" width="9.140625" style="23" customWidth="1"/>
    <col min="24" max="16384" width="9.140625" style="23"/>
  </cols>
  <sheetData>
    <row r="1" spans="2:13">
      <c r="C1" s="1"/>
      <c r="D1" s="1"/>
      <c r="E1" s="1"/>
      <c r="F1" s="1"/>
      <c r="G1" s="1"/>
      <c r="H1" s="20" t="s">
        <v>46</v>
      </c>
      <c r="I1" s="34">
        <v>45765</v>
      </c>
      <c r="J1" s="2"/>
    </row>
    <row r="3" spans="2:13">
      <c r="E3" s="28" t="s">
        <v>86</v>
      </c>
      <c r="F3" s="22">
        <f>COUNT(F10:F19,H10:H19)+1</f>
        <v>4</v>
      </c>
      <c r="G3" s="24"/>
      <c r="H3" s="3" t="s">
        <v>12</v>
      </c>
      <c r="I3" s="35">
        <f>Purchase_Order</f>
        <v>62893</v>
      </c>
    </row>
    <row r="4" spans="2:13">
      <c r="C4" s="28"/>
      <c r="D4" s="28"/>
      <c r="E4" s="28"/>
      <c r="F4" s="24"/>
      <c r="G4" s="24"/>
      <c r="H4" s="3" t="s">
        <v>13</v>
      </c>
      <c r="I4" s="21" t="str">
        <f>IF('PROJECT INFO'!B26&gt;1,"VARIOUS",Account_Number0)</f>
        <v>VARIOUS</v>
      </c>
    </row>
    <row r="5" spans="2:13">
      <c r="C5" s="28"/>
      <c r="D5" s="28"/>
      <c r="E5" s="28"/>
      <c r="F5" s="24"/>
      <c r="G5" s="24"/>
      <c r="H5" s="3"/>
    </row>
    <row r="6" spans="2:13" ht="12" customHeight="1">
      <c r="B6" s="374"/>
      <c r="C6" s="375"/>
      <c r="D6" s="375"/>
      <c r="E6" s="375"/>
      <c r="F6" s="375"/>
      <c r="G6" s="375"/>
      <c r="H6" s="375"/>
      <c r="I6" s="376"/>
      <c r="J6" s="29"/>
    </row>
    <row r="7" spans="2:13" ht="15.75">
      <c r="B7" s="377" t="str">
        <f>CONCATENATE(Fiscal_Year," ",Program," (",Location,")")</f>
        <v>2023/24 Seal Coat Street Pavement Improvements (E 16th St; Glendale Ave)</v>
      </c>
      <c r="C7" s="378"/>
      <c r="D7" s="378"/>
      <c r="E7" s="378"/>
      <c r="F7" s="378"/>
      <c r="G7" s="378"/>
      <c r="H7" s="378"/>
      <c r="I7" s="379"/>
      <c r="J7" s="5"/>
    </row>
    <row r="8" spans="2:13">
      <c r="L8" s="61" t="s">
        <v>77</v>
      </c>
      <c r="M8" s="60"/>
    </row>
    <row r="9" spans="2:13">
      <c r="B9" s="23" t="s">
        <v>14</v>
      </c>
      <c r="E9" s="23" t="s">
        <v>15</v>
      </c>
      <c r="I9" s="36"/>
      <c r="L9" s="62" t="s">
        <v>76</v>
      </c>
      <c r="M9" s="24" t="s">
        <v>84</v>
      </c>
    </row>
    <row r="10" spans="2:13" ht="12.95" customHeight="1">
      <c r="B10" s="380"/>
      <c r="C10" s="381"/>
      <c r="E10" s="37">
        <v>1</v>
      </c>
      <c r="F10" s="38">
        <v>2100</v>
      </c>
      <c r="G10" s="31">
        <v>11</v>
      </c>
      <c r="H10" s="38"/>
      <c r="I10" s="6" t="s">
        <v>78</v>
      </c>
      <c r="J10" s="7"/>
      <c r="L10" s="67"/>
      <c r="M10" s="64"/>
    </row>
    <row r="11" spans="2:13" ht="12.95" customHeight="1">
      <c r="B11" s="363" t="str">
        <f>Contractor_Name</f>
        <v>Manatt's Inc</v>
      </c>
      <c r="C11" s="364"/>
      <c r="E11" s="29">
        <v>2</v>
      </c>
      <c r="F11" s="38">
        <v>3300</v>
      </c>
      <c r="G11" s="23">
        <v>12</v>
      </c>
      <c r="H11" s="38"/>
      <c r="I11" s="8" t="s">
        <v>16</v>
      </c>
      <c r="J11" s="7"/>
      <c r="L11" s="68"/>
      <c r="M11" s="65"/>
    </row>
    <row r="12" spans="2:13" ht="12.95" customHeight="1">
      <c r="B12" s="365" t="s">
        <v>17</v>
      </c>
      <c r="C12" s="366"/>
      <c r="E12" s="29">
        <v>3</v>
      </c>
      <c r="F12" s="38">
        <v>14042.929999999993</v>
      </c>
      <c r="G12" s="23">
        <v>13</v>
      </c>
      <c r="H12" s="38"/>
      <c r="I12" s="63">
        <f>SUM(F10:F19,H10:H19)</f>
        <v>19442.929999999993</v>
      </c>
      <c r="J12" s="9"/>
      <c r="L12" s="68"/>
      <c r="M12" s="65"/>
    </row>
    <row r="13" spans="2:13" ht="12.95" customHeight="1">
      <c r="B13" s="363" t="str">
        <f>Contractor_Address1</f>
        <v>2120 E 13th Street</v>
      </c>
      <c r="C13" s="364"/>
      <c r="E13" s="29">
        <v>4</v>
      </c>
      <c r="F13" s="38"/>
      <c r="G13" s="23">
        <v>14</v>
      </c>
      <c r="H13" s="38"/>
      <c r="I13" s="8" t="s">
        <v>18</v>
      </c>
      <c r="J13" s="7"/>
      <c r="L13" s="68"/>
      <c r="M13" s="65"/>
    </row>
    <row r="14" spans="2:13" ht="12.95" customHeight="1">
      <c r="B14" s="365" t="s">
        <v>19</v>
      </c>
      <c r="C14" s="366"/>
      <c r="E14" s="29">
        <v>5</v>
      </c>
      <c r="F14" s="38"/>
      <c r="G14" s="23">
        <v>15</v>
      </c>
      <c r="H14" s="38"/>
      <c r="I14" s="63">
        <f>Award_Amount</f>
        <v>1828001.36</v>
      </c>
      <c r="J14" s="10"/>
      <c r="L14" s="29"/>
      <c r="M14" s="65"/>
    </row>
    <row r="15" spans="2:13" ht="12.95" customHeight="1">
      <c r="B15" s="363" t="str">
        <f>Contractor_Address2</f>
        <v>Ames, IA 50010</v>
      </c>
      <c r="C15" s="364"/>
      <c r="E15" s="29">
        <v>6</v>
      </c>
      <c r="F15" s="38"/>
      <c r="G15" s="23">
        <v>16</v>
      </c>
      <c r="H15" s="38"/>
      <c r="I15" s="30" t="s">
        <v>21</v>
      </c>
      <c r="J15" s="11"/>
      <c r="L15" s="29"/>
      <c r="M15" s="65"/>
    </row>
    <row r="16" spans="2:13" ht="12.95" customHeight="1">
      <c r="B16" s="365" t="s">
        <v>20</v>
      </c>
      <c r="C16" s="366"/>
      <c r="E16" s="29">
        <v>7</v>
      </c>
      <c r="F16" s="38"/>
      <c r="G16" s="23">
        <v>17</v>
      </c>
      <c r="H16" s="38"/>
      <c r="I16" s="127">
        <f>I46</f>
        <v>29800</v>
      </c>
      <c r="J16" s="12"/>
      <c r="L16" s="29"/>
      <c r="M16" s="65"/>
    </row>
    <row r="17" spans="2:13" ht="12.95" customHeight="1">
      <c r="B17" s="367"/>
      <c r="C17" s="368"/>
      <c r="E17" s="29">
        <v>8</v>
      </c>
      <c r="F17" s="38"/>
      <c r="G17" s="23">
        <v>18</v>
      </c>
      <c r="H17" s="38"/>
      <c r="I17" s="55" t="s">
        <v>82</v>
      </c>
      <c r="J17" s="13"/>
      <c r="L17" s="29"/>
      <c r="M17" s="65"/>
    </row>
    <row r="18" spans="2:13">
      <c r="B18" s="369"/>
      <c r="C18" s="370"/>
      <c r="E18" s="29">
        <v>9</v>
      </c>
      <c r="F18" s="38"/>
      <c r="G18" s="23">
        <v>19</v>
      </c>
      <c r="H18" s="38"/>
      <c r="I18" s="8" t="s">
        <v>83</v>
      </c>
      <c r="J18" s="11"/>
      <c r="L18" s="29"/>
      <c r="M18" s="65"/>
    </row>
    <row r="19" spans="2:13">
      <c r="B19" s="39"/>
      <c r="C19" s="39"/>
      <c r="E19" s="29">
        <v>10</v>
      </c>
      <c r="F19" s="38"/>
      <c r="G19" s="23">
        <v>20</v>
      </c>
      <c r="H19" s="40"/>
      <c r="I19" s="63">
        <f>F20+H20+ABS(I46)-M22</f>
        <v>49242.929999999993</v>
      </c>
      <c r="J19" s="11"/>
      <c r="L19" s="29"/>
      <c r="M19" s="65"/>
    </row>
    <row r="20" spans="2:13" ht="13.5" thickBot="1">
      <c r="C20" s="59" t="str">
        <f>IF(((I12+I16)/I14)&lt;0.2,IF(I19&lt;50000,IF(I19&lt;25000,"Staff Approval","Requires City Manager Approval"),"Requires City Council Approval"),"Requires City Council Approval")</f>
        <v>Requires City Manager Approval</v>
      </c>
      <c r="E20" s="29"/>
      <c r="F20" s="56">
        <f t="array" ref="F20">SUM(ABS(F10:F19))</f>
        <v>19442.929999999993</v>
      </c>
      <c r="G20" s="57"/>
      <c r="H20" s="58">
        <f t="array" ref="H20">SUM(ABS(H10:H19))</f>
        <v>0</v>
      </c>
      <c r="I20" s="8" t="s">
        <v>22</v>
      </c>
      <c r="J20" s="7"/>
      <c r="L20" s="29"/>
      <c r="M20" s="65"/>
    </row>
    <row r="21" spans="2:13" ht="14.25" thickTop="1" thickBot="1">
      <c r="E21" s="41"/>
      <c r="F21" s="42"/>
      <c r="G21" s="36"/>
      <c r="H21" s="42"/>
      <c r="I21" s="128">
        <f>I16+I14+I12</f>
        <v>1877244.29</v>
      </c>
      <c r="J21" s="43"/>
      <c r="L21" s="41"/>
      <c r="M21" s="66"/>
    </row>
    <row r="22" spans="2:13" ht="13.5" thickTop="1">
      <c r="B22" s="44" t="s">
        <v>23</v>
      </c>
      <c r="L22" s="69">
        <f>MAX(L10:L21)</f>
        <v>0</v>
      </c>
      <c r="M22" s="70">
        <f>IF(ISERROR(VLOOKUP(L22,L10:M21,2,FALSE)),0,VLOOKUP(L22,L10:M21,2,FALSE))</f>
        <v>0</v>
      </c>
    </row>
    <row r="23" spans="2:13" ht="13.5" thickBot="1">
      <c r="B23" s="45" t="s">
        <v>24</v>
      </c>
      <c r="C23" s="45" t="s">
        <v>25</v>
      </c>
      <c r="D23" s="129" t="s">
        <v>26</v>
      </c>
      <c r="E23" s="130"/>
      <c r="F23" s="45" t="s">
        <v>8</v>
      </c>
      <c r="G23" s="46"/>
      <c r="H23" s="14" t="s">
        <v>7</v>
      </c>
      <c r="I23" s="14" t="s">
        <v>10</v>
      </c>
      <c r="L23" s="108" t="s">
        <v>113</v>
      </c>
    </row>
    <row r="24" spans="2:13" ht="13.5" thickTop="1">
      <c r="B24" s="250" t="s">
        <v>309</v>
      </c>
      <c r="C24" s="25" t="str">
        <f>IF(ISERROR(VLOOKUP($B24,BIDTAB,2,FALSE)),0,VLOOKUP($B24,BIDTAB,2,FALSE))</f>
        <v>Sanitary Service Replacement</v>
      </c>
      <c r="D24" s="131" t="str">
        <f t="shared" ref="D24:D45" si="0">IF(ISERROR(VLOOKUP($B24,BIDTAB,3,FALSE)),0,VLOOKUP($B24,BIDTAB,3,FALSE))</f>
        <v>LS</v>
      </c>
      <c r="E24" s="132"/>
      <c r="F24" s="236">
        <f t="shared" ref="F24:F45" si="1">IF(ISERROR(VLOOKUP($B24,BIDTAB,7,FALSE)),0,VLOOKUP($B24,BIDTAB,7,FALSE))</f>
        <v>29800</v>
      </c>
      <c r="G24" s="47"/>
      <c r="H24" s="48">
        <v>1</v>
      </c>
      <c r="I24" s="234">
        <f>ROUND(F24*H24,2)</f>
        <v>29800</v>
      </c>
      <c r="L24" s="23" t="s">
        <v>114</v>
      </c>
    </row>
    <row r="25" spans="2:13">
      <c r="B25" s="22"/>
      <c r="C25" s="25">
        <f t="shared" ref="C25:C45" si="2">IF(ISERROR(VLOOKUP($B25,BIDTAB,2,FALSE)),0,VLOOKUP($B25,BIDTAB,2,FALSE))</f>
        <v>0</v>
      </c>
      <c r="D25" s="131">
        <f t="shared" si="0"/>
        <v>0</v>
      </c>
      <c r="E25" s="132"/>
      <c r="F25" s="236">
        <f t="shared" si="1"/>
        <v>0</v>
      </c>
      <c r="G25" s="49"/>
      <c r="H25" s="48"/>
      <c r="I25" s="234">
        <f t="shared" ref="I25:I45" si="3">ROUND(F25*H25,2)</f>
        <v>0</v>
      </c>
      <c r="L25" s="23" t="s">
        <v>118</v>
      </c>
    </row>
    <row r="26" spans="2:13">
      <c r="B26" s="22"/>
      <c r="C26" s="25">
        <f t="shared" si="2"/>
        <v>0</v>
      </c>
      <c r="D26" s="131">
        <f t="shared" si="0"/>
        <v>0</v>
      </c>
      <c r="E26" s="132"/>
      <c r="F26" s="236">
        <f t="shared" si="1"/>
        <v>0</v>
      </c>
      <c r="G26" s="49"/>
      <c r="H26" s="48"/>
      <c r="I26" s="234">
        <f t="shared" si="3"/>
        <v>0</v>
      </c>
    </row>
    <row r="27" spans="2:13">
      <c r="B27" s="22"/>
      <c r="C27" s="25">
        <f t="shared" si="2"/>
        <v>0</v>
      </c>
      <c r="D27" s="131">
        <f t="shared" si="0"/>
        <v>0</v>
      </c>
      <c r="E27" s="132"/>
      <c r="F27" s="236">
        <f t="shared" si="1"/>
        <v>0</v>
      </c>
      <c r="G27" s="49"/>
      <c r="H27" s="48"/>
      <c r="I27" s="234">
        <f t="shared" si="3"/>
        <v>0</v>
      </c>
    </row>
    <row r="28" spans="2:13">
      <c r="B28" s="22"/>
      <c r="C28" s="25">
        <f t="shared" si="2"/>
        <v>0</v>
      </c>
      <c r="D28" s="131">
        <f t="shared" si="0"/>
        <v>0</v>
      </c>
      <c r="E28" s="132"/>
      <c r="F28" s="236">
        <f t="shared" si="1"/>
        <v>0</v>
      </c>
      <c r="G28" s="49"/>
      <c r="H28" s="48"/>
      <c r="I28" s="234">
        <f t="shared" si="3"/>
        <v>0</v>
      </c>
    </row>
    <row r="29" spans="2:13">
      <c r="B29" s="22"/>
      <c r="C29" s="25">
        <f t="shared" si="2"/>
        <v>0</v>
      </c>
      <c r="D29" s="131">
        <f t="shared" si="0"/>
        <v>0</v>
      </c>
      <c r="E29" s="132"/>
      <c r="F29" s="236">
        <f t="shared" si="1"/>
        <v>0</v>
      </c>
      <c r="G29" s="49"/>
      <c r="H29" s="48"/>
      <c r="I29" s="234">
        <f t="shared" si="3"/>
        <v>0</v>
      </c>
    </row>
    <row r="30" spans="2:13">
      <c r="B30" s="22"/>
      <c r="C30" s="25">
        <f t="shared" si="2"/>
        <v>0</v>
      </c>
      <c r="D30" s="131">
        <f t="shared" si="0"/>
        <v>0</v>
      </c>
      <c r="E30" s="132"/>
      <c r="F30" s="236">
        <f t="shared" si="1"/>
        <v>0</v>
      </c>
      <c r="G30" s="49"/>
      <c r="H30" s="48"/>
      <c r="I30" s="234">
        <f t="shared" si="3"/>
        <v>0</v>
      </c>
    </row>
    <row r="31" spans="2:13">
      <c r="B31" s="22"/>
      <c r="C31" s="25">
        <f t="shared" si="2"/>
        <v>0</v>
      </c>
      <c r="D31" s="131">
        <f t="shared" si="0"/>
        <v>0</v>
      </c>
      <c r="E31" s="132"/>
      <c r="F31" s="236">
        <f t="shared" si="1"/>
        <v>0</v>
      </c>
      <c r="G31" s="49"/>
      <c r="H31" s="48"/>
      <c r="I31" s="234">
        <f t="shared" si="3"/>
        <v>0</v>
      </c>
    </row>
    <row r="32" spans="2:13">
      <c r="B32" s="22"/>
      <c r="C32" s="25">
        <f t="shared" si="2"/>
        <v>0</v>
      </c>
      <c r="D32" s="131">
        <f t="shared" si="0"/>
        <v>0</v>
      </c>
      <c r="E32" s="132"/>
      <c r="F32" s="236">
        <f t="shared" si="1"/>
        <v>0</v>
      </c>
      <c r="G32" s="49"/>
      <c r="H32" s="48"/>
      <c r="I32" s="234">
        <f t="shared" si="3"/>
        <v>0</v>
      </c>
    </row>
    <row r="33" spans="1:13">
      <c r="B33" s="22"/>
      <c r="C33" s="25">
        <f t="shared" si="2"/>
        <v>0</v>
      </c>
      <c r="D33" s="131">
        <f t="shared" si="0"/>
        <v>0</v>
      </c>
      <c r="E33" s="132"/>
      <c r="F33" s="236">
        <f t="shared" si="1"/>
        <v>0</v>
      </c>
      <c r="G33" s="49"/>
      <c r="H33" s="48"/>
      <c r="I33" s="234">
        <f t="shared" si="3"/>
        <v>0</v>
      </c>
    </row>
    <row r="34" spans="1:13">
      <c r="B34" s="22"/>
      <c r="C34" s="25">
        <f t="shared" si="2"/>
        <v>0</v>
      </c>
      <c r="D34" s="131">
        <f t="shared" si="0"/>
        <v>0</v>
      </c>
      <c r="E34" s="132"/>
      <c r="F34" s="236">
        <f t="shared" si="1"/>
        <v>0</v>
      </c>
      <c r="G34" s="49"/>
      <c r="H34" s="48"/>
      <c r="I34" s="234">
        <f t="shared" si="3"/>
        <v>0</v>
      </c>
    </row>
    <row r="35" spans="1:13">
      <c r="B35" s="22"/>
      <c r="C35" s="25">
        <f t="shared" si="2"/>
        <v>0</v>
      </c>
      <c r="D35" s="131">
        <f t="shared" si="0"/>
        <v>0</v>
      </c>
      <c r="E35" s="132"/>
      <c r="F35" s="236">
        <f t="shared" si="1"/>
        <v>0</v>
      </c>
      <c r="G35" s="49"/>
      <c r="H35" s="48"/>
      <c r="I35" s="234">
        <f t="shared" si="3"/>
        <v>0</v>
      </c>
    </row>
    <row r="36" spans="1:13">
      <c r="B36" s="22"/>
      <c r="C36" s="25">
        <f t="shared" si="2"/>
        <v>0</v>
      </c>
      <c r="D36" s="131">
        <f t="shared" si="0"/>
        <v>0</v>
      </c>
      <c r="E36" s="132"/>
      <c r="F36" s="236">
        <f t="shared" si="1"/>
        <v>0</v>
      </c>
      <c r="G36" s="49"/>
      <c r="H36" s="48"/>
      <c r="I36" s="234">
        <f t="shared" si="3"/>
        <v>0</v>
      </c>
    </row>
    <row r="37" spans="1:13">
      <c r="B37" s="22"/>
      <c r="C37" s="25">
        <f t="shared" si="2"/>
        <v>0</v>
      </c>
      <c r="D37" s="131">
        <f t="shared" si="0"/>
        <v>0</v>
      </c>
      <c r="E37" s="132"/>
      <c r="F37" s="236">
        <f t="shared" si="1"/>
        <v>0</v>
      </c>
      <c r="G37" s="49"/>
      <c r="H37" s="48"/>
      <c r="I37" s="234">
        <f t="shared" si="3"/>
        <v>0</v>
      </c>
    </row>
    <row r="38" spans="1:13">
      <c r="B38" s="22"/>
      <c r="C38" s="25">
        <f t="shared" si="2"/>
        <v>0</v>
      </c>
      <c r="D38" s="131">
        <f t="shared" si="0"/>
        <v>0</v>
      </c>
      <c r="E38" s="132"/>
      <c r="F38" s="236">
        <f t="shared" si="1"/>
        <v>0</v>
      </c>
      <c r="G38" s="49"/>
      <c r="H38" s="48"/>
      <c r="I38" s="234">
        <f t="shared" si="3"/>
        <v>0</v>
      </c>
    </row>
    <row r="39" spans="1:13">
      <c r="B39" s="22"/>
      <c r="C39" s="25">
        <f t="shared" si="2"/>
        <v>0</v>
      </c>
      <c r="D39" s="131">
        <f t="shared" si="0"/>
        <v>0</v>
      </c>
      <c r="E39" s="132"/>
      <c r="F39" s="236">
        <f t="shared" si="1"/>
        <v>0</v>
      </c>
      <c r="G39" s="49"/>
      <c r="H39" s="48"/>
      <c r="I39" s="234">
        <f t="shared" si="3"/>
        <v>0</v>
      </c>
    </row>
    <row r="40" spans="1:13">
      <c r="B40" s="22"/>
      <c r="C40" s="25">
        <f t="shared" si="2"/>
        <v>0</v>
      </c>
      <c r="D40" s="131">
        <f t="shared" si="0"/>
        <v>0</v>
      </c>
      <c r="E40" s="132"/>
      <c r="F40" s="236">
        <f t="shared" si="1"/>
        <v>0</v>
      </c>
      <c r="G40" s="49"/>
      <c r="H40" s="48"/>
      <c r="I40" s="234">
        <f t="shared" si="3"/>
        <v>0</v>
      </c>
    </row>
    <row r="41" spans="1:13">
      <c r="B41" s="22"/>
      <c r="C41" s="25">
        <f t="shared" si="2"/>
        <v>0</v>
      </c>
      <c r="D41" s="131">
        <f t="shared" si="0"/>
        <v>0</v>
      </c>
      <c r="E41" s="132"/>
      <c r="F41" s="236">
        <f t="shared" si="1"/>
        <v>0</v>
      </c>
      <c r="G41" s="49"/>
      <c r="H41" s="48"/>
      <c r="I41" s="234">
        <f t="shared" si="3"/>
        <v>0</v>
      </c>
    </row>
    <row r="42" spans="1:13">
      <c r="B42" s="22"/>
      <c r="C42" s="25">
        <f t="shared" si="2"/>
        <v>0</v>
      </c>
      <c r="D42" s="131">
        <f t="shared" si="0"/>
        <v>0</v>
      </c>
      <c r="E42" s="132"/>
      <c r="F42" s="236">
        <f t="shared" si="1"/>
        <v>0</v>
      </c>
      <c r="G42" s="49"/>
      <c r="H42" s="48"/>
      <c r="I42" s="234">
        <f t="shared" si="3"/>
        <v>0</v>
      </c>
    </row>
    <row r="43" spans="1:13">
      <c r="B43" s="22"/>
      <c r="C43" s="25">
        <f t="shared" si="2"/>
        <v>0</v>
      </c>
      <c r="D43" s="131">
        <f t="shared" si="0"/>
        <v>0</v>
      </c>
      <c r="E43" s="132"/>
      <c r="F43" s="236">
        <f t="shared" si="1"/>
        <v>0</v>
      </c>
      <c r="G43" s="49"/>
      <c r="H43" s="48"/>
      <c r="I43" s="234">
        <f t="shared" si="3"/>
        <v>0</v>
      </c>
    </row>
    <row r="44" spans="1:13">
      <c r="B44" s="22"/>
      <c r="C44" s="25">
        <f t="shared" si="2"/>
        <v>0</v>
      </c>
      <c r="D44" s="131">
        <f t="shared" si="0"/>
        <v>0</v>
      </c>
      <c r="E44" s="132"/>
      <c r="F44" s="236">
        <f t="shared" si="1"/>
        <v>0</v>
      </c>
      <c r="G44" s="49"/>
      <c r="H44" s="48"/>
      <c r="I44" s="234">
        <f t="shared" si="3"/>
        <v>0</v>
      </c>
    </row>
    <row r="45" spans="1:13">
      <c r="B45" s="90"/>
      <c r="C45" s="25">
        <f t="shared" si="2"/>
        <v>0</v>
      </c>
      <c r="D45" s="131">
        <f t="shared" si="0"/>
        <v>0</v>
      </c>
      <c r="E45" s="132"/>
      <c r="F45" s="236">
        <f t="shared" si="1"/>
        <v>0</v>
      </c>
      <c r="G45" s="49"/>
      <c r="H45" s="48"/>
      <c r="I45" s="234">
        <f t="shared" si="3"/>
        <v>0</v>
      </c>
    </row>
    <row r="46" spans="1:13" ht="12.75" customHeight="1" thickBot="1">
      <c r="D46" s="31"/>
      <c r="E46" s="31"/>
      <c r="F46" s="32" t="s">
        <v>27</v>
      </c>
      <c r="G46" s="33"/>
      <c r="H46" s="26" t="s">
        <v>81</v>
      </c>
      <c r="I46" s="235">
        <f>SUM(I24:I45)</f>
        <v>29800</v>
      </c>
      <c r="L46" s="54"/>
      <c r="M46" s="27"/>
    </row>
    <row r="47" spans="1:13" ht="14.25" customHeight="1" thickTop="1">
      <c r="C47" s="15"/>
      <c r="D47" s="15"/>
      <c r="E47" s="15"/>
      <c r="F47" s="15"/>
      <c r="G47" s="15"/>
      <c r="H47" s="20"/>
    </row>
    <row r="48" spans="1:13" ht="13.5" customHeight="1">
      <c r="A48" s="371" t="s">
        <v>28</v>
      </c>
      <c r="B48" s="371"/>
      <c r="C48" s="371"/>
      <c r="D48" s="371"/>
      <c r="E48" s="371"/>
      <c r="F48" s="371"/>
      <c r="G48" s="371"/>
      <c r="H48" s="371"/>
      <c r="I48" s="371"/>
      <c r="J48" s="50"/>
    </row>
    <row r="49" spans="1:10" ht="14.1" customHeight="1">
      <c r="A49" s="372" t="s">
        <v>29</v>
      </c>
      <c r="B49" s="372"/>
      <c r="C49" s="372"/>
      <c r="D49" s="372"/>
      <c r="E49" s="372"/>
      <c r="F49" s="372"/>
      <c r="G49" s="372"/>
      <c r="H49" s="372"/>
      <c r="I49" s="51" t="s">
        <v>11</v>
      </c>
    </row>
    <row r="50" spans="1:10" ht="13.5" customHeight="1">
      <c r="A50" s="372" t="s">
        <v>30</v>
      </c>
      <c r="B50" s="372"/>
      <c r="C50" s="372"/>
      <c r="D50" s="372"/>
      <c r="E50" s="372"/>
      <c r="F50" s="372"/>
      <c r="G50" s="372"/>
      <c r="H50" s="372"/>
      <c r="I50" s="372"/>
      <c r="J50" s="52"/>
    </row>
    <row r="51" spans="1:10" ht="9" customHeight="1">
      <c r="B51" s="52"/>
      <c r="C51" s="52"/>
      <c r="D51" s="52"/>
      <c r="E51" s="52"/>
      <c r="F51" s="52"/>
      <c r="G51" s="52"/>
      <c r="H51" s="52"/>
      <c r="I51" s="52"/>
      <c r="J51" s="52"/>
    </row>
    <row r="52" spans="1:10" ht="12" customHeight="1">
      <c r="B52" s="53" t="s">
        <v>31</v>
      </c>
      <c r="C52" s="15"/>
      <c r="F52" s="53" t="s">
        <v>32</v>
      </c>
      <c r="G52" s="15"/>
      <c r="H52" s="15"/>
      <c r="I52" s="15"/>
    </row>
    <row r="53" spans="1:10" ht="18.75" customHeight="1">
      <c r="B53" s="36"/>
      <c r="C53" s="36"/>
      <c r="F53" s="362"/>
      <c r="G53" s="362"/>
      <c r="H53" s="362"/>
      <c r="I53" s="362"/>
    </row>
    <row r="54" spans="1:10" ht="12" customHeight="1">
      <c r="B54" s="16" t="s">
        <v>33</v>
      </c>
      <c r="F54" s="16" t="s">
        <v>80</v>
      </c>
      <c r="I54" s="16" t="s">
        <v>46</v>
      </c>
    </row>
    <row r="55" spans="1:10" ht="12" customHeight="1">
      <c r="B55" s="373" t="s">
        <v>34</v>
      </c>
      <c r="C55" s="373"/>
      <c r="D55" s="373"/>
      <c r="E55" s="373"/>
      <c r="F55" s="373"/>
      <c r="G55" s="373"/>
      <c r="H55" s="373"/>
      <c r="I55" s="373"/>
    </row>
    <row r="56" spans="1:10" ht="18.75" customHeight="1">
      <c r="B56" s="36"/>
      <c r="C56" s="36"/>
      <c r="F56" s="362"/>
      <c r="G56" s="362"/>
      <c r="H56" s="362"/>
      <c r="I56" s="362"/>
    </row>
    <row r="57" spans="1:10" ht="13.5" customHeight="1">
      <c r="B57" s="16" t="s">
        <v>35</v>
      </c>
      <c r="F57" s="16" t="s">
        <v>79</v>
      </c>
      <c r="I57" s="16" t="s">
        <v>46</v>
      </c>
    </row>
    <row r="58" spans="1:10" ht="9.75" customHeight="1">
      <c r="C58" s="17" t="s">
        <v>36</v>
      </c>
      <c r="D58" s="17">
        <v>1</v>
      </c>
      <c r="E58" s="18" t="s">
        <v>37</v>
      </c>
      <c r="F58" s="19">
        <v>1</v>
      </c>
    </row>
    <row r="59" spans="1:10">
      <c r="C59" s="19"/>
    </row>
    <row r="60" spans="1:10" ht="15" customHeight="1">
      <c r="D60" s="17"/>
      <c r="E60" s="18"/>
      <c r="F60" s="19"/>
    </row>
  </sheetData>
  <mergeCells count="17">
    <mergeCell ref="A48:I48"/>
    <mergeCell ref="B6:I6"/>
    <mergeCell ref="B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A49:H49"/>
    <mergeCell ref="A50:I50"/>
    <mergeCell ref="F53:I53"/>
    <mergeCell ref="B55:I55"/>
    <mergeCell ref="F56:I56"/>
  </mergeCells>
  <dataValidations disablePrompts="1" count="2">
    <dataValidation type="list" allowBlank="1" showInputMessage="1" showErrorMessage="1" sqref="I49" xr:uid="{24B062EB-A501-4E74-89CD-3527BB1DB9B4}">
      <formula1>$L$1:$L$13</formula1>
    </dataValidation>
    <dataValidation type="list" operator="greaterThanOrEqual" allowBlank="1" showInputMessage="1" showErrorMessage="1" sqref="F60 F58" xr:uid="{9801A111-1B02-4A2A-9808-6698E5370537}">
      <formula1>#REF!</formula1>
    </dataValidation>
  </dataValidations>
  <printOptions horizontalCentered="1"/>
  <pageMargins left="0.25" right="0.25" top="0.25" bottom="0.25" header="0.15" footer="0.15"/>
  <pageSetup scale="96" fitToHeight="0" orientation="portrait" r:id="rId1"/>
  <headerFooter alignWithMargins="0">
    <oddFooter>&amp;LCC: Project Engineer, PW Mgmt. Asst., Finance, Contractor&amp;R&amp;D | &amp;T</oddFooter>
  </headerFooter>
  <rowBreaks count="1" manualBreakCount="1">
    <brk id="59" max="10" man="1"/>
  </rowBreak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DDB07-03D3-4B55-A182-5EFC123B4FF3}">
  <sheetPr>
    <pageSetUpPr autoPageBreaks="0" fitToPage="1"/>
  </sheetPr>
  <dimension ref="A1:S151"/>
  <sheetViews>
    <sheetView showOutlineSymbols="0" topLeftCell="A76" zoomScale="70" zoomScaleNormal="70" zoomScaleSheetLayoutView="100" workbookViewId="0">
      <selection activeCell="F125" sqref="F125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1" width="13.7109375" style="140" customWidth="1"/>
    <col min="12" max="12" width="14.14062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v>9</v>
      </c>
      <c r="H4" s="192" t="s">
        <v>311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45785</v>
      </c>
      <c r="I5" s="147"/>
      <c r="J5" s="148"/>
      <c r="L5" s="141"/>
      <c r="M5" s="141" t="s">
        <v>47</v>
      </c>
      <c r="N5" s="139"/>
      <c r="O5" s="145">
        <f>SUM(O4+O19)</f>
        <v>1877244.29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3" si="0">VLOOKUP($A8,BIDTAB,2,FALSE)</f>
        <v>#N/A</v>
      </c>
      <c r="C8" s="137"/>
      <c r="D8" s="24" t="e">
        <f t="shared" ref="D8:D73" si="1">VLOOKUP($A8,BIDTAB,3,FALSE)</f>
        <v>#N/A</v>
      </c>
      <c r="E8" s="231" t="e">
        <f t="shared" ref="E8:E73" si="2">VLOOKUP($A8,BIDTAB,7,FALSE)</f>
        <v>#N/A</v>
      </c>
      <c r="F8" s="223" t="e">
        <f t="shared" ref="F8:F73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3" si="4">IF(ISERROR(F8*E8),0,F8*E8)</f>
        <v>0</v>
      </c>
      <c r="K8" s="162">
        <f t="shared" ref="K8:K73" si="5">IF(ISERROR(G8*E8),0,G8*E8)</f>
        <v>0</v>
      </c>
      <c r="L8" s="162">
        <f t="shared" ref="L8:L73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/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>
        <v>39.299999999999997</v>
      </c>
      <c r="H9" s="226">
        <v>1030.5999999999999</v>
      </c>
      <c r="I9" s="167">
        <f t="shared" ref="I9:I74" si="7">IF(ISBLANK(G9),F9,F9+G9)-H9</f>
        <v>0</v>
      </c>
      <c r="J9" s="162">
        <f t="shared" si="4"/>
        <v>27756.399999999998</v>
      </c>
      <c r="K9" s="162">
        <f t="shared" si="5"/>
        <v>1100.3999999999999</v>
      </c>
      <c r="L9" s="162">
        <f t="shared" si="6"/>
        <v>28856.799999999996</v>
      </c>
      <c r="M9" s="162">
        <f t="shared" ref="M9:M74" si="8">SUM(J9:K9)-L9</f>
        <v>0</v>
      </c>
      <c r="N9" s="168"/>
      <c r="O9" s="169"/>
      <c r="P9" s="165"/>
      <c r="R9" s="162"/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>
        <v>24</v>
      </c>
      <c r="H10" s="226">
        <v>3077.5</v>
      </c>
      <c r="I10" s="167">
        <f t="shared" si="7"/>
        <v>0</v>
      </c>
      <c r="J10" s="162">
        <f t="shared" si="4"/>
        <v>61070</v>
      </c>
      <c r="K10" s="162">
        <f t="shared" si="5"/>
        <v>480</v>
      </c>
      <c r="L10" s="162">
        <f t="shared" si="6"/>
        <v>61550</v>
      </c>
      <c r="M10" s="162">
        <f t="shared" si="8"/>
        <v>0</v>
      </c>
      <c r="N10" s="170">
        <v>1</v>
      </c>
      <c r="O10" s="352">
        <v>2100</v>
      </c>
      <c r="P10" s="165"/>
      <c r="R10" s="162"/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>
        <v>-4864</v>
      </c>
      <c r="H11" s="226">
        <v>7126</v>
      </c>
      <c r="I11" s="167">
        <f t="shared" si="7"/>
        <v>0</v>
      </c>
      <c r="J11" s="162">
        <f t="shared" si="4"/>
        <v>38967.5</v>
      </c>
      <c r="K11" s="162">
        <f t="shared" si="5"/>
        <v>-15808</v>
      </c>
      <c r="L11" s="162">
        <f t="shared" si="6"/>
        <v>23159.5</v>
      </c>
      <c r="M11" s="162">
        <f t="shared" si="8"/>
        <v>0</v>
      </c>
      <c r="N11" s="171">
        <v>2</v>
      </c>
      <c r="O11" s="238">
        <v>3300</v>
      </c>
      <c r="P11" s="165"/>
      <c r="R11" s="162"/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>
        <v>-39.22</v>
      </c>
      <c r="H12" s="226">
        <v>11950.78</v>
      </c>
      <c r="I12" s="167">
        <f t="shared" si="7"/>
        <v>0</v>
      </c>
      <c r="J12" s="162">
        <f t="shared" si="4"/>
        <v>107910</v>
      </c>
      <c r="K12" s="162">
        <f t="shared" si="5"/>
        <v>-352.98</v>
      </c>
      <c r="L12" s="162">
        <f t="shared" si="6"/>
        <v>107557.02</v>
      </c>
      <c r="M12" s="162">
        <f t="shared" si="8"/>
        <v>0</v>
      </c>
      <c r="N12" s="171">
        <v>3</v>
      </c>
      <c r="O12" s="238">
        <v>14042.93</v>
      </c>
      <c r="P12" s="165"/>
      <c r="R12" s="162"/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>
        <v>29800</v>
      </c>
      <c r="P13" s="165"/>
      <c r="R13" s="162"/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>
        <v>-11</v>
      </c>
      <c r="H14" s="336">
        <v>567</v>
      </c>
      <c r="I14" s="305">
        <f t="shared" si="7"/>
        <v>0</v>
      </c>
      <c r="J14" s="306">
        <f t="shared" si="4"/>
        <v>42483</v>
      </c>
      <c r="K14" s="306">
        <f t="shared" si="5"/>
        <v>-808.5</v>
      </c>
      <c r="L14" s="306">
        <f t="shared" si="6"/>
        <v>41674.5</v>
      </c>
      <c r="M14" s="306">
        <f t="shared" si="8"/>
        <v>0</v>
      </c>
      <c r="N14" s="171">
        <v>5</v>
      </c>
      <c r="O14" s="238"/>
      <c r="P14" s="165"/>
      <c r="R14" s="306"/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>
        <v>5</v>
      </c>
      <c r="H15" s="336">
        <v>17</v>
      </c>
      <c r="I15" s="305">
        <f t="shared" si="7"/>
        <v>0</v>
      </c>
      <c r="J15" s="306">
        <f t="shared" si="4"/>
        <v>25200</v>
      </c>
      <c r="K15" s="306">
        <f t="shared" si="5"/>
        <v>10500</v>
      </c>
      <c r="L15" s="306">
        <f t="shared" si="6"/>
        <v>35700</v>
      </c>
      <c r="M15" s="306">
        <f t="shared" si="8"/>
        <v>0</v>
      </c>
      <c r="N15" s="171">
        <v>6</v>
      </c>
      <c r="O15" s="238"/>
      <c r="P15" s="165"/>
      <c r="R15" s="306"/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>
        <v>-11</v>
      </c>
      <c r="H16" s="336">
        <v>567</v>
      </c>
      <c r="I16" s="305">
        <f t="shared" si="7"/>
        <v>0</v>
      </c>
      <c r="J16" s="306">
        <f t="shared" si="4"/>
        <v>12138</v>
      </c>
      <c r="K16" s="306">
        <f t="shared" si="5"/>
        <v>-231</v>
      </c>
      <c r="L16" s="306">
        <f t="shared" si="6"/>
        <v>11907</v>
      </c>
      <c r="M16" s="306">
        <f t="shared" si="8"/>
        <v>0</v>
      </c>
      <c r="N16" s="171">
        <v>7</v>
      </c>
      <c r="O16" s="238"/>
      <c r="P16" s="165"/>
      <c r="R16" s="306"/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>
        <v>20</v>
      </c>
      <c r="H17" s="226">
        <v>546</v>
      </c>
      <c r="I17" s="167">
        <f t="shared" si="7"/>
        <v>0</v>
      </c>
      <c r="J17" s="162">
        <f t="shared" si="4"/>
        <v>38661</v>
      </c>
      <c r="K17" s="162">
        <f t="shared" si="5"/>
        <v>1470</v>
      </c>
      <c r="L17" s="162">
        <f t="shared" si="6"/>
        <v>40131</v>
      </c>
      <c r="M17" s="162">
        <f t="shared" si="8"/>
        <v>0</v>
      </c>
      <c r="N17" s="171">
        <v>8</v>
      </c>
      <c r="O17" s="238"/>
      <c r="P17" s="165"/>
      <c r="R17" s="162"/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>
        <v>20</v>
      </c>
      <c r="H18" s="226">
        <v>546</v>
      </c>
      <c r="I18" s="167">
        <f t="shared" si="7"/>
        <v>0</v>
      </c>
      <c r="J18" s="162">
        <f t="shared" si="4"/>
        <v>11046</v>
      </c>
      <c r="K18" s="162">
        <f t="shared" si="5"/>
        <v>420</v>
      </c>
      <c r="L18" s="162">
        <f t="shared" si="6"/>
        <v>11466</v>
      </c>
      <c r="M18" s="162">
        <f t="shared" si="8"/>
        <v>0</v>
      </c>
      <c r="N18" s="172"/>
      <c r="O18" s="239" t="s">
        <v>10</v>
      </c>
      <c r="P18" s="165"/>
      <c r="R18" s="162"/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>
        <v>-3</v>
      </c>
      <c r="H19" s="226">
        <v>197</v>
      </c>
      <c r="I19" s="167">
        <f t="shared" si="7"/>
        <v>0</v>
      </c>
      <c r="J19" s="162">
        <f t="shared" si="4"/>
        <v>5100</v>
      </c>
      <c r="K19" s="162">
        <f t="shared" si="5"/>
        <v>-76.5</v>
      </c>
      <c r="L19" s="162">
        <f t="shared" si="6"/>
        <v>5023.5</v>
      </c>
      <c r="M19" s="162">
        <f t="shared" si="8"/>
        <v>0</v>
      </c>
      <c r="N19" s="173"/>
      <c r="O19" s="240">
        <f>SUM(O10:O17)</f>
        <v>49242.93</v>
      </c>
      <c r="P19" s="165"/>
      <c r="R19" s="162"/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1</v>
      </c>
      <c r="I20" s="167">
        <f t="shared" si="7"/>
        <v>0</v>
      </c>
      <c r="J20" s="162">
        <f t="shared" si="4"/>
        <v>850</v>
      </c>
      <c r="K20" s="162">
        <f t="shared" si="5"/>
        <v>0</v>
      </c>
      <c r="L20" s="162">
        <f t="shared" si="6"/>
        <v>850</v>
      </c>
      <c r="M20" s="162">
        <f t="shared" si="8"/>
        <v>0</v>
      </c>
      <c r="N20" s="174"/>
      <c r="O20" s="241"/>
      <c r="P20" s="165"/>
      <c r="R20" s="162"/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>
        <v>12</v>
      </c>
      <c r="H21" s="226">
        <v>13</v>
      </c>
      <c r="I21" s="167">
        <f t="shared" si="7"/>
        <v>0</v>
      </c>
      <c r="J21" s="162">
        <f t="shared" si="4"/>
        <v>600</v>
      </c>
      <c r="K21" s="162">
        <f t="shared" si="5"/>
        <v>7200</v>
      </c>
      <c r="L21" s="162">
        <f t="shared" si="6"/>
        <v>7800</v>
      </c>
      <c r="M21" s="162">
        <f t="shared" si="8"/>
        <v>0</v>
      </c>
      <c r="N21" s="175" t="s">
        <v>54</v>
      </c>
      <c r="O21" s="242"/>
      <c r="P21" s="165"/>
      <c r="R21" s="162"/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/>
      <c r="G22" s="227">
        <v>1</v>
      </c>
      <c r="H22" s="227">
        <v>1</v>
      </c>
      <c r="I22" s="167">
        <f>IF(ISBLANK(G22),F22,F22+G22)-H22</f>
        <v>0</v>
      </c>
      <c r="J22" s="162">
        <f>IF(ISERROR(F22*E22),0,F22*E22)</f>
        <v>0</v>
      </c>
      <c r="K22" s="162">
        <f>IF(ISERROR(G22*E22),0,G22*E22)</f>
        <v>2100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/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/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>
        <v>5</v>
      </c>
      <c r="H24" s="294">
        <v>70</v>
      </c>
      <c r="I24" s="295">
        <f t="shared" si="7"/>
        <v>0</v>
      </c>
      <c r="J24" s="296">
        <f t="shared" si="4"/>
        <v>2730</v>
      </c>
      <c r="K24" s="296">
        <f t="shared" si="5"/>
        <v>210</v>
      </c>
      <c r="L24" s="296">
        <f t="shared" si="6"/>
        <v>2940</v>
      </c>
      <c r="M24" s="296">
        <f t="shared" si="8"/>
        <v>0</v>
      </c>
      <c r="N24" s="174"/>
      <c r="O24" s="241"/>
      <c r="P24" s="165"/>
      <c r="R24" s="296"/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>
        <v>-27</v>
      </c>
      <c r="H25" s="294">
        <v>8</v>
      </c>
      <c r="I25" s="295">
        <f t="shared" si="7"/>
        <v>0</v>
      </c>
      <c r="J25" s="296">
        <f t="shared" si="4"/>
        <v>3675</v>
      </c>
      <c r="K25" s="296">
        <f t="shared" si="5"/>
        <v>-2835</v>
      </c>
      <c r="L25" s="296">
        <f t="shared" si="6"/>
        <v>840</v>
      </c>
      <c r="M25" s="296">
        <f t="shared" si="8"/>
        <v>0</v>
      </c>
      <c r="N25" s="170">
        <v>1</v>
      </c>
      <c r="O25" s="237">
        <v>95553.900000000009</v>
      </c>
      <c r="P25" s="165"/>
      <c r="R25" s="296"/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>
        <v>17.5</v>
      </c>
      <c r="H26" s="294">
        <v>41.5</v>
      </c>
      <c r="I26" s="295">
        <f t="shared" si="7"/>
        <v>0</v>
      </c>
      <c r="J26" s="296">
        <f t="shared" si="4"/>
        <v>2520</v>
      </c>
      <c r="K26" s="296">
        <f t="shared" si="5"/>
        <v>1837.5</v>
      </c>
      <c r="L26" s="296">
        <f t="shared" si="6"/>
        <v>4357.5</v>
      </c>
      <c r="M26" s="296">
        <f t="shared" si="8"/>
        <v>0</v>
      </c>
      <c r="N26" s="171">
        <v>2</v>
      </c>
      <c r="O26" s="239">
        <v>267401.59999999998</v>
      </c>
      <c r="P26" s="165"/>
      <c r="R26" s="296"/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>
        <v>88</v>
      </c>
      <c r="H27" s="294">
        <v>1160</v>
      </c>
      <c r="I27" s="295">
        <f t="shared" si="7"/>
        <v>0</v>
      </c>
      <c r="J27" s="296">
        <f t="shared" si="4"/>
        <v>146328</v>
      </c>
      <c r="K27" s="296">
        <f t="shared" si="5"/>
        <v>12012</v>
      </c>
      <c r="L27" s="296">
        <f t="shared" si="6"/>
        <v>158340</v>
      </c>
      <c r="M27" s="296">
        <f t="shared" si="8"/>
        <v>0</v>
      </c>
      <c r="N27" s="171">
        <v>3</v>
      </c>
      <c r="O27" s="238">
        <v>137425.00000000006</v>
      </c>
      <c r="P27" s="165"/>
      <c r="R27" s="296"/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>
        <v>-75</v>
      </c>
      <c r="H28" s="294"/>
      <c r="I28" s="295">
        <f t="shared" si="7"/>
        <v>0</v>
      </c>
      <c r="J28" s="296">
        <f t="shared" si="4"/>
        <v>15750</v>
      </c>
      <c r="K28" s="296">
        <f t="shared" si="5"/>
        <v>-15750</v>
      </c>
      <c r="L28" s="296">
        <f t="shared" si="6"/>
        <v>0</v>
      </c>
      <c r="M28" s="296">
        <f t="shared" si="8"/>
        <v>0</v>
      </c>
      <c r="N28" s="176">
        <v>4</v>
      </c>
      <c r="O28" s="243">
        <v>344248.87024999998</v>
      </c>
      <c r="P28" s="165"/>
      <c r="R28" s="296"/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>
        <v>-1</v>
      </c>
      <c r="H29" s="297"/>
      <c r="I29" s="295">
        <f t="shared" si="7"/>
        <v>0</v>
      </c>
      <c r="J29" s="296">
        <f t="shared" si="4"/>
        <v>1575</v>
      </c>
      <c r="K29" s="296">
        <f t="shared" si="5"/>
        <v>-1575</v>
      </c>
      <c r="L29" s="296">
        <f t="shared" si="6"/>
        <v>0</v>
      </c>
      <c r="M29" s="296">
        <f t="shared" si="8"/>
        <v>0</v>
      </c>
      <c r="N29" s="170">
        <v>5</v>
      </c>
      <c r="O29" s="243">
        <v>213618.78999999992</v>
      </c>
      <c r="P29" s="165"/>
      <c r="R29" s="296"/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>
        <v>4</v>
      </c>
      <c r="H30" s="297">
        <v>5</v>
      </c>
      <c r="I30" s="295">
        <f t="shared" si="7"/>
        <v>0</v>
      </c>
      <c r="J30" s="296">
        <f t="shared" si="4"/>
        <v>682.5</v>
      </c>
      <c r="K30" s="296">
        <f t="shared" si="5"/>
        <v>2730</v>
      </c>
      <c r="L30" s="296">
        <f t="shared" si="6"/>
        <v>3412.5</v>
      </c>
      <c r="M30" s="296">
        <f t="shared" si="8"/>
        <v>0</v>
      </c>
      <c r="N30" s="171">
        <v>6</v>
      </c>
      <c r="O30" s="244">
        <v>393505.49724999978</v>
      </c>
      <c r="P30" s="165"/>
      <c r="R30" s="296"/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>
        <v>-1</v>
      </c>
      <c r="H31" s="297">
        <v>4</v>
      </c>
      <c r="I31" s="295">
        <f t="shared" si="7"/>
        <v>0</v>
      </c>
      <c r="J31" s="296">
        <f t="shared" si="4"/>
        <v>2625</v>
      </c>
      <c r="K31" s="296">
        <f t="shared" si="5"/>
        <v>-525</v>
      </c>
      <c r="L31" s="296">
        <f t="shared" si="6"/>
        <v>2100</v>
      </c>
      <c r="M31" s="296">
        <f t="shared" si="8"/>
        <v>0</v>
      </c>
      <c r="N31" s="177">
        <v>7</v>
      </c>
      <c r="O31" s="244">
        <v>285438.85000000033</v>
      </c>
      <c r="P31" s="165"/>
      <c r="R31" s="296"/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>
        <v>-4</v>
      </c>
      <c r="H32" s="297">
        <v>2</v>
      </c>
      <c r="I32" s="295">
        <f t="shared" si="7"/>
        <v>0</v>
      </c>
      <c r="J32" s="296">
        <f t="shared" si="4"/>
        <v>2520</v>
      </c>
      <c r="K32" s="296">
        <f t="shared" si="5"/>
        <v>-1680</v>
      </c>
      <c r="L32" s="296">
        <f t="shared" si="6"/>
        <v>840</v>
      </c>
      <c r="M32" s="296">
        <f t="shared" si="8"/>
        <v>0</v>
      </c>
      <c r="N32" s="177">
        <v>8</v>
      </c>
      <c r="O32" s="244">
        <v>17879.570000000065</v>
      </c>
      <c r="P32" s="165"/>
      <c r="R32" s="296"/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>
        <v>5</v>
      </c>
      <c r="H33" s="297">
        <v>6</v>
      </c>
      <c r="I33" s="295">
        <f t="shared" si="7"/>
        <v>0</v>
      </c>
      <c r="J33" s="296">
        <f t="shared" si="4"/>
        <v>420</v>
      </c>
      <c r="K33" s="296">
        <f t="shared" si="5"/>
        <v>2100</v>
      </c>
      <c r="L33" s="296">
        <f t="shared" si="6"/>
        <v>2520</v>
      </c>
      <c r="M33" s="296">
        <f t="shared" si="8"/>
        <v>0</v>
      </c>
      <c r="N33" s="179"/>
      <c r="O33" s="361" t="s">
        <v>10</v>
      </c>
      <c r="P33" s="165"/>
      <c r="R33" s="296"/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>
        <v>1</v>
      </c>
      <c r="H34" s="297">
        <v>2</v>
      </c>
      <c r="I34" s="295">
        <f t="shared" si="7"/>
        <v>0</v>
      </c>
      <c r="J34" s="296">
        <f t="shared" si="4"/>
        <v>420</v>
      </c>
      <c r="K34" s="296">
        <f t="shared" si="5"/>
        <v>420</v>
      </c>
      <c r="L34" s="296">
        <f t="shared" si="6"/>
        <v>840</v>
      </c>
      <c r="M34" s="296">
        <f t="shared" si="8"/>
        <v>0</v>
      </c>
      <c r="N34" s="360"/>
      <c r="O34" s="246">
        <f>SUM(O25:O32)</f>
        <v>1755072.0775000001</v>
      </c>
      <c r="P34" s="165"/>
      <c r="R34" s="296"/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/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/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>
        <v>2</v>
      </c>
      <c r="H37" s="297">
        <v>17</v>
      </c>
      <c r="I37" s="295">
        <f t="shared" si="7"/>
        <v>0</v>
      </c>
      <c r="J37" s="296">
        <f t="shared" si="4"/>
        <v>63000</v>
      </c>
      <c r="K37" s="296">
        <f t="shared" si="5"/>
        <v>8400</v>
      </c>
      <c r="L37" s="296">
        <f t="shared" si="6"/>
        <v>71400</v>
      </c>
      <c r="M37" s="296">
        <f t="shared" si="8"/>
        <v>0</v>
      </c>
      <c r="N37" s="180"/>
      <c r="P37" s="165"/>
      <c r="R37" s="296"/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>
        <v>2</v>
      </c>
      <c r="H38" s="297">
        <v>17</v>
      </c>
      <c r="I38" s="295">
        <f t="shared" si="7"/>
        <v>0</v>
      </c>
      <c r="J38" s="296">
        <f t="shared" si="4"/>
        <v>47250</v>
      </c>
      <c r="K38" s="296">
        <f t="shared" si="5"/>
        <v>6300</v>
      </c>
      <c r="L38" s="296">
        <f t="shared" si="6"/>
        <v>53550</v>
      </c>
      <c r="M38" s="296">
        <f t="shared" si="8"/>
        <v>0</v>
      </c>
      <c r="N38" s="180"/>
      <c r="P38" s="165"/>
      <c r="R38" s="296"/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>
        <v>1</v>
      </c>
      <c r="H39" s="297">
        <v>5</v>
      </c>
      <c r="I39" s="295">
        <f t="shared" si="7"/>
        <v>0</v>
      </c>
      <c r="J39" s="296">
        <f t="shared" si="4"/>
        <v>7560</v>
      </c>
      <c r="K39" s="296">
        <f t="shared" si="5"/>
        <v>1890</v>
      </c>
      <c r="L39" s="296">
        <f t="shared" si="6"/>
        <v>9450</v>
      </c>
      <c r="M39" s="296">
        <f t="shared" si="8"/>
        <v>0</v>
      </c>
      <c r="N39" s="180"/>
      <c r="P39" s="165"/>
      <c r="R39" s="296"/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2</v>
      </c>
      <c r="I40" s="295">
        <f t="shared" si="7"/>
        <v>0</v>
      </c>
      <c r="J40" s="296">
        <f t="shared" si="4"/>
        <v>3150</v>
      </c>
      <c r="K40" s="296">
        <f t="shared" si="5"/>
        <v>0</v>
      </c>
      <c r="L40" s="296">
        <f t="shared" si="6"/>
        <v>3150</v>
      </c>
      <c r="M40" s="296">
        <f t="shared" si="8"/>
        <v>0</v>
      </c>
      <c r="N40" s="180"/>
      <c r="P40" s="165"/>
      <c r="R40" s="296"/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>
        <v>1</v>
      </c>
      <c r="H41" s="297">
        <v>6</v>
      </c>
      <c r="I41" s="295">
        <f t="shared" si="7"/>
        <v>0</v>
      </c>
      <c r="J41" s="296">
        <f t="shared" si="4"/>
        <v>42000</v>
      </c>
      <c r="K41" s="296">
        <f t="shared" si="5"/>
        <v>8400</v>
      </c>
      <c r="L41" s="296">
        <f t="shared" si="6"/>
        <v>50400</v>
      </c>
      <c r="M41" s="296">
        <f t="shared" si="8"/>
        <v>0</v>
      </c>
      <c r="N41" s="180"/>
      <c r="P41" s="165"/>
      <c r="R41" s="296"/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>
        <v>-8</v>
      </c>
      <c r="H42" s="297">
        <v>2</v>
      </c>
      <c r="I42" s="295">
        <f t="shared" si="7"/>
        <v>0</v>
      </c>
      <c r="J42" s="296">
        <f t="shared" si="4"/>
        <v>6500</v>
      </c>
      <c r="K42" s="296">
        <f t="shared" si="5"/>
        <v>-5200</v>
      </c>
      <c r="L42" s="296">
        <f t="shared" si="6"/>
        <v>1300</v>
      </c>
      <c r="M42" s="296">
        <f t="shared" si="8"/>
        <v>0</v>
      </c>
      <c r="N42" s="180"/>
      <c r="P42" s="165"/>
      <c r="R42" s="296"/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>
        <v>-1</v>
      </c>
      <c r="H43" s="297">
        <v>3</v>
      </c>
      <c r="I43" s="295">
        <f t="shared" si="7"/>
        <v>0</v>
      </c>
      <c r="J43" s="296">
        <f t="shared" si="4"/>
        <v>4200</v>
      </c>
      <c r="K43" s="296">
        <f t="shared" si="5"/>
        <v>-1050</v>
      </c>
      <c r="L43" s="296">
        <f t="shared" si="6"/>
        <v>3150</v>
      </c>
      <c r="M43" s="296">
        <f t="shared" si="8"/>
        <v>0</v>
      </c>
      <c r="N43" s="180"/>
      <c r="P43" s="165"/>
      <c r="R43" s="296"/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>
        <v>3</v>
      </c>
      <c r="H44" s="297">
        <v>5</v>
      </c>
      <c r="I44" s="295">
        <f t="shared" si="7"/>
        <v>0</v>
      </c>
      <c r="J44" s="296">
        <f t="shared" si="4"/>
        <v>1050</v>
      </c>
      <c r="K44" s="296">
        <f t="shared" si="5"/>
        <v>1575</v>
      </c>
      <c r="L44" s="296">
        <f t="shared" si="6"/>
        <v>2625</v>
      </c>
      <c r="M44" s="296">
        <f t="shared" si="8"/>
        <v>0</v>
      </c>
      <c r="N44" s="180"/>
      <c r="P44" s="165"/>
      <c r="R44" s="296"/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>
        <v>-8</v>
      </c>
      <c r="H45" s="297">
        <v>4</v>
      </c>
      <c r="I45" s="295">
        <f t="shared" si="7"/>
        <v>0</v>
      </c>
      <c r="J45" s="296">
        <f t="shared" si="4"/>
        <v>6300</v>
      </c>
      <c r="K45" s="296">
        <f t="shared" si="5"/>
        <v>-4200</v>
      </c>
      <c r="L45" s="296">
        <f t="shared" si="6"/>
        <v>2100</v>
      </c>
      <c r="M45" s="296">
        <f t="shared" si="8"/>
        <v>0</v>
      </c>
      <c r="N45" s="180"/>
      <c r="P45" s="165"/>
      <c r="R45" s="296"/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/>
    </row>
    <row r="47" spans="1:18">
      <c r="A47" s="335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8</v>
      </c>
      <c r="I47" s="305">
        <f t="shared" si="7"/>
        <v>0</v>
      </c>
      <c r="J47" s="306">
        <f t="shared" si="4"/>
        <v>74741.600000000006</v>
      </c>
      <c r="K47" s="306">
        <f t="shared" si="5"/>
        <v>0</v>
      </c>
      <c r="L47" s="306">
        <f t="shared" si="6"/>
        <v>74741.600000000006</v>
      </c>
      <c r="M47" s="306">
        <f t="shared" si="8"/>
        <v>0</v>
      </c>
      <c r="N47" s="180"/>
      <c r="P47" s="165"/>
      <c r="R47" s="306"/>
    </row>
    <row r="48" spans="1:18">
      <c r="A48" s="256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1</v>
      </c>
      <c r="I48" s="167">
        <f t="shared" si="7"/>
        <v>0</v>
      </c>
      <c r="J48" s="162">
        <f t="shared" si="4"/>
        <v>9532.36</v>
      </c>
      <c r="K48" s="162">
        <f t="shared" si="5"/>
        <v>0</v>
      </c>
      <c r="L48" s="162">
        <f t="shared" si="6"/>
        <v>9532.36</v>
      </c>
      <c r="M48" s="162">
        <f t="shared" si="8"/>
        <v>0</v>
      </c>
      <c r="N48" s="180"/>
      <c r="P48" s="165"/>
      <c r="R48" s="162"/>
    </row>
    <row r="49" spans="1:18">
      <c r="A49" s="256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7</v>
      </c>
      <c r="I49" s="167">
        <f t="shared" si="7"/>
        <v>0</v>
      </c>
      <c r="J49" s="162">
        <f t="shared" si="4"/>
        <v>24746.12</v>
      </c>
      <c r="K49" s="162">
        <f t="shared" si="5"/>
        <v>0</v>
      </c>
      <c r="L49" s="162">
        <f t="shared" si="6"/>
        <v>24746.12</v>
      </c>
      <c r="M49" s="162">
        <f t="shared" si="8"/>
        <v>0</v>
      </c>
      <c r="N49" s="180"/>
      <c r="P49" s="165"/>
      <c r="R49" s="162"/>
    </row>
    <row r="50" spans="1:18">
      <c r="A50" s="356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>
        <v>2</v>
      </c>
      <c r="H50" s="227">
        <v>4</v>
      </c>
      <c r="I50" s="167">
        <f t="shared" si="7"/>
        <v>0</v>
      </c>
      <c r="J50" s="162">
        <f t="shared" si="4"/>
        <v>14549.7</v>
      </c>
      <c r="K50" s="162">
        <f t="shared" si="5"/>
        <v>14549.7</v>
      </c>
      <c r="L50" s="162">
        <f t="shared" si="6"/>
        <v>29099.4</v>
      </c>
      <c r="M50" s="162">
        <f t="shared" si="8"/>
        <v>0</v>
      </c>
      <c r="N50" s="180"/>
      <c r="P50" s="165"/>
      <c r="R50" s="162"/>
    </row>
    <row r="51" spans="1:18">
      <c r="A51" s="335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1</v>
      </c>
      <c r="I51" s="305">
        <f t="shared" si="7"/>
        <v>0</v>
      </c>
      <c r="J51" s="306">
        <f t="shared" si="4"/>
        <v>2200</v>
      </c>
      <c r="K51" s="306">
        <f t="shared" si="5"/>
        <v>0</v>
      </c>
      <c r="L51" s="306">
        <f t="shared" si="6"/>
        <v>2200</v>
      </c>
      <c r="M51" s="306">
        <f t="shared" si="8"/>
        <v>0</v>
      </c>
      <c r="N51" s="180"/>
      <c r="P51" s="165"/>
      <c r="R51" s="306"/>
    </row>
    <row r="52" spans="1:18">
      <c r="A52" s="335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/>
    </row>
    <row r="53" spans="1:18">
      <c r="A53" s="357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3</v>
      </c>
      <c r="I53" s="333">
        <f t="shared" si="7"/>
        <v>0</v>
      </c>
      <c r="J53" s="334">
        <f t="shared" si="4"/>
        <v>3709.5</v>
      </c>
      <c r="K53" s="334">
        <f t="shared" si="5"/>
        <v>0</v>
      </c>
      <c r="L53" s="334">
        <f t="shared" si="6"/>
        <v>3709.5</v>
      </c>
      <c r="M53" s="334">
        <f t="shared" si="8"/>
        <v>0</v>
      </c>
      <c r="N53" s="180"/>
      <c r="P53" s="165"/>
      <c r="R53" s="334"/>
    </row>
    <row r="54" spans="1:18">
      <c r="A54" s="335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9</v>
      </c>
      <c r="I54" s="305">
        <f t="shared" si="7"/>
        <v>0</v>
      </c>
      <c r="J54" s="306">
        <f t="shared" si="4"/>
        <v>9450</v>
      </c>
      <c r="K54" s="306">
        <f t="shared" si="5"/>
        <v>0</v>
      </c>
      <c r="L54" s="306">
        <f t="shared" si="6"/>
        <v>9450</v>
      </c>
      <c r="M54" s="306">
        <f t="shared" si="8"/>
        <v>0</v>
      </c>
      <c r="N54" s="180"/>
      <c r="P54" s="165"/>
      <c r="R54" s="306"/>
    </row>
    <row r="55" spans="1:18">
      <c r="A55" s="256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1</v>
      </c>
      <c r="I55" s="167">
        <f t="shared" si="7"/>
        <v>0</v>
      </c>
      <c r="J55" s="162">
        <f t="shared" si="4"/>
        <v>1050</v>
      </c>
      <c r="K55" s="162">
        <f t="shared" si="5"/>
        <v>0</v>
      </c>
      <c r="L55" s="162">
        <f t="shared" si="6"/>
        <v>1050</v>
      </c>
      <c r="M55" s="162">
        <f t="shared" si="8"/>
        <v>0</v>
      </c>
      <c r="N55" s="180"/>
      <c r="P55" s="165"/>
      <c r="R55" s="162"/>
    </row>
    <row r="56" spans="1:18">
      <c r="A56" s="256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9</v>
      </c>
      <c r="I56" s="167">
        <f t="shared" si="7"/>
        <v>0</v>
      </c>
      <c r="J56" s="162">
        <f t="shared" si="4"/>
        <v>9450</v>
      </c>
      <c r="K56" s="162">
        <f t="shared" si="5"/>
        <v>0</v>
      </c>
      <c r="L56" s="162">
        <f t="shared" si="6"/>
        <v>9450</v>
      </c>
      <c r="M56" s="162">
        <f t="shared" si="8"/>
        <v>0</v>
      </c>
      <c r="N56" s="180"/>
      <c r="P56" s="165"/>
      <c r="R56" s="162"/>
    </row>
    <row r="57" spans="1:18">
      <c r="A57" s="335" t="s">
        <v>297</v>
      </c>
      <c r="B57" s="299" t="str">
        <f t="shared" si="0"/>
        <v xml:space="preserve">Sanitary Sewer MH - External Drop (E 16th and Maxwell) </v>
      </c>
      <c r="C57" s="300"/>
      <c r="D57" s="301" t="str">
        <f t="shared" si="1"/>
        <v>LS</v>
      </c>
      <c r="E57" s="302">
        <f t="shared" si="2"/>
        <v>3300</v>
      </c>
      <c r="F57" s="303"/>
      <c r="G57" s="304">
        <v>1</v>
      </c>
      <c r="H57" s="304">
        <v>1</v>
      </c>
      <c r="I57" s="305">
        <f t="shared" si="7"/>
        <v>0</v>
      </c>
      <c r="J57" s="306">
        <f t="shared" si="4"/>
        <v>0</v>
      </c>
      <c r="K57" s="306">
        <f t="shared" si="5"/>
        <v>3300</v>
      </c>
      <c r="L57" s="306">
        <f t="shared" si="6"/>
        <v>3300</v>
      </c>
      <c r="M57" s="306">
        <f t="shared" ref="M57" si="9">SUM(J57:K57)-L57</f>
        <v>0</v>
      </c>
      <c r="N57" s="180"/>
      <c r="P57" s="165"/>
      <c r="R57" s="162"/>
    </row>
    <row r="58" spans="1:18">
      <c r="A58" s="256"/>
      <c r="B58" s="23" t="e">
        <f t="shared" si="0"/>
        <v>#N/A</v>
      </c>
      <c r="C58" s="137"/>
      <c r="D58" s="24" t="e">
        <f t="shared" si="1"/>
        <v>#N/A</v>
      </c>
      <c r="E58" s="231" t="e">
        <f t="shared" si="2"/>
        <v>#N/A</v>
      </c>
      <c r="F58" s="225" t="e">
        <f t="shared" si="3"/>
        <v>#N/A</v>
      </c>
      <c r="G58" s="227"/>
      <c r="H58" s="227"/>
      <c r="I58" s="167" t="e">
        <f t="shared" si="7"/>
        <v>#N/A</v>
      </c>
      <c r="J58" s="162">
        <f t="shared" si="4"/>
        <v>0</v>
      </c>
      <c r="K58" s="162">
        <f t="shared" si="5"/>
        <v>0</v>
      </c>
      <c r="L58" s="162">
        <f t="shared" si="6"/>
        <v>0</v>
      </c>
      <c r="M58" s="162">
        <f t="shared" si="8"/>
        <v>0</v>
      </c>
      <c r="N58" s="180"/>
      <c r="P58" s="165"/>
      <c r="R58" s="162"/>
    </row>
    <row r="59" spans="1:18">
      <c r="A59" s="358" t="s">
        <v>258</v>
      </c>
      <c r="B59" s="325" t="str">
        <f t="shared" si="0"/>
        <v>Curb &amp; Gutter, 30" width, 12" thickness</v>
      </c>
      <c r="C59" s="337"/>
      <c r="D59" s="338" t="str">
        <f t="shared" si="1"/>
        <v>lf</v>
      </c>
      <c r="E59" s="339">
        <f t="shared" si="2"/>
        <v>35</v>
      </c>
      <c r="F59" s="340">
        <f t="shared" si="3"/>
        <v>5300</v>
      </c>
      <c r="G59" s="341">
        <v>153</v>
      </c>
      <c r="H59" s="341">
        <v>5453</v>
      </c>
      <c r="I59" s="342">
        <f t="shared" si="7"/>
        <v>0</v>
      </c>
      <c r="J59" s="343">
        <f t="shared" si="4"/>
        <v>185500</v>
      </c>
      <c r="K59" s="343">
        <f t="shared" si="5"/>
        <v>5355</v>
      </c>
      <c r="L59" s="343">
        <f t="shared" si="6"/>
        <v>190855</v>
      </c>
      <c r="M59" s="343">
        <f t="shared" si="8"/>
        <v>0</v>
      </c>
      <c r="N59" s="180"/>
      <c r="P59" s="165"/>
      <c r="R59" s="343"/>
    </row>
    <row r="60" spans="1:18">
      <c r="A60" s="256" t="s">
        <v>259</v>
      </c>
      <c r="B60" s="23" t="str">
        <f t="shared" si="0"/>
        <v>Pavement, HMA, Base, 5" depth</v>
      </c>
      <c r="C60" s="137"/>
      <c r="D60" s="24" t="str">
        <f t="shared" si="1"/>
        <v>ton</v>
      </c>
      <c r="E60" s="231">
        <f t="shared" si="2"/>
        <v>103</v>
      </c>
      <c r="F60" s="225">
        <f t="shared" si="3"/>
        <v>2844.8</v>
      </c>
      <c r="G60" s="227">
        <v>-91.8</v>
      </c>
      <c r="H60" s="227">
        <v>2753</v>
      </c>
      <c r="I60" s="167">
        <f t="shared" si="7"/>
        <v>0</v>
      </c>
      <c r="J60" s="162">
        <f t="shared" si="4"/>
        <v>293014.40000000002</v>
      </c>
      <c r="K60" s="162">
        <f t="shared" si="5"/>
        <v>-9455.4</v>
      </c>
      <c r="L60" s="162">
        <f t="shared" si="6"/>
        <v>283559</v>
      </c>
      <c r="M60" s="162">
        <f t="shared" si="8"/>
        <v>0</v>
      </c>
      <c r="N60" s="180"/>
      <c r="P60" s="165"/>
      <c r="R60" s="162"/>
    </row>
    <row r="61" spans="1:18">
      <c r="A61" s="256" t="s">
        <v>260</v>
      </c>
      <c r="B61" s="23" t="str">
        <f t="shared" si="0"/>
        <v>Pavement, HMA, Surface, 2" depth</v>
      </c>
      <c r="C61" s="137"/>
      <c r="D61" s="24" t="str">
        <f t="shared" si="1"/>
        <v>ton</v>
      </c>
      <c r="E61" s="231">
        <f t="shared" si="2"/>
        <v>108</v>
      </c>
      <c r="F61" s="225">
        <f t="shared" si="3"/>
        <v>1144.4000000000001</v>
      </c>
      <c r="G61" s="227">
        <v>-130.34</v>
      </c>
      <c r="H61" s="227">
        <v>1014.06</v>
      </c>
      <c r="I61" s="167">
        <f t="shared" si="7"/>
        <v>0</v>
      </c>
      <c r="J61" s="162">
        <f t="shared" si="4"/>
        <v>123595.20000000001</v>
      </c>
      <c r="K61" s="162">
        <f t="shared" si="5"/>
        <v>-14076.720000000001</v>
      </c>
      <c r="L61" s="162">
        <f t="shared" si="6"/>
        <v>109518.48</v>
      </c>
      <c r="M61" s="162">
        <f t="shared" si="8"/>
        <v>0</v>
      </c>
      <c r="N61" s="180"/>
      <c r="P61" s="165"/>
      <c r="R61" s="162"/>
    </row>
    <row r="62" spans="1:18">
      <c r="A62" s="256" t="s">
        <v>261</v>
      </c>
      <c r="B62" s="23" t="str">
        <f t="shared" si="0"/>
        <v>Removal of Sidewalk/Driveway</v>
      </c>
      <c r="C62" s="137"/>
      <c r="D62" s="24" t="str">
        <f t="shared" si="1"/>
        <v>sy</v>
      </c>
      <c r="E62" s="231">
        <f t="shared" si="2"/>
        <v>10.75</v>
      </c>
      <c r="F62" s="225">
        <f t="shared" si="3"/>
        <v>1191.7</v>
      </c>
      <c r="G62" s="227">
        <v>-1.0900000000000001</v>
      </c>
      <c r="H62" s="227">
        <v>1190.6099999999999</v>
      </c>
      <c r="I62" s="167">
        <f t="shared" si="7"/>
        <v>0</v>
      </c>
      <c r="J62" s="162">
        <f t="shared" si="4"/>
        <v>12810.775</v>
      </c>
      <c r="K62" s="162">
        <f t="shared" si="5"/>
        <v>-11.717500000000001</v>
      </c>
      <c r="L62" s="162">
        <f t="shared" si="6"/>
        <v>12799.057499999999</v>
      </c>
      <c r="M62" s="162">
        <f t="shared" si="8"/>
        <v>0</v>
      </c>
      <c r="N62" s="180"/>
      <c r="P62" s="165"/>
    </row>
    <row r="63" spans="1:18">
      <c r="A63" s="358" t="s">
        <v>262</v>
      </c>
      <c r="B63" s="325" t="str">
        <f t="shared" si="0"/>
        <v>Sidewalk/Drive, PCC, 6"/4" depth</v>
      </c>
      <c r="C63" s="337"/>
      <c r="D63" s="338" t="str">
        <f t="shared" si="1"/>
        <v>sy</v>
      </c>
      <c r="E63" s="339">
        <f t="shared" si="2"/>
        <v>94</v>
      </c>
      <c r="F63" s="340">
        <f t="shared" si="3"/>
        <v>1293</v>
      </c>
      <c r="G63" s="341">
        <v>31.2</v>
      </c>
      <c r="H63" s="341">
        <v>1324.2</v>
      </c>
      <c r="I63" s="342">
        <f t="shared" si="7"/>
        <v>0</v>
      </c>
      <c r="J63" s="343">
        <f t="shared" si="4"/>
        <v>121542</v>
      </c>
      <c r="K63" s="343">
        <f t="shared" si="5"/>
        <v>2932.7999999999997</v>
      </c>
      <c r="L63" s="343">
        <f t="shared" si="6"/>
        <v>124474.8</v>
      </c>
      <c r="M63" s="343">
        <f t="shared" si="8"/>
        <v>0</v>
      </c>
      <c r="N63" s="180"/>
      <c r="P63" s="165"/>
      <c r="R63" s="162"/>
    </row>
    <row r="64" spans="1:18">
      <c r="A64" s="256" t="s">
        <v>263</v>
      </c>
      <c r="B64" s="23" t="str">
        <f t="shared" si="0"/>
        <v>Detectable Warning</v>
      </c>
      <c r="C64" s="137"/>
      <c r="D64" s="24" t="str">
        <f t="shared" si="1"/>
        <v>sf</v>
      </c>
      <c r="E64" s="231">
        <f t="shared" si="2"/>
        <v>45</v>
      </c>
      <c r="F64" s="225">
        <f t="shared" si="3"/>
        <v>263</v>
      </c>
      <c r="G64" s="227">
        <v>25.2</v>
      </c>
      <c r="H64" s="227">
        <v>288.2</v>
      </c>
      <c r="I64" s="167">
        <f t="shared" si="7"/>
        <v>0</v>
      </c>
      <c r="J64" s="162">
        <f t="shared" si="4"/>
        <v>11835</v>
      </c>
      <c r="K64" s="162">
        <f t="shared" si="5"/>
        <v>1134</v>
      </c>
      <c r="L64" s="162">
        <f t="shared" si="6"/>
        <v>12969</v>
      </c>
      <c r="M64" s="162">
        <f t="shared" si="8"/>
        <v>0</v>
      </c>
      <c r="N64" s="180"/>
      <c r="P64" s="165"/>
      <c r="R64" s="162"/>
    </row>
    <row r="65" spans="1:18">
      <c r="A65" s="256" t="s">
        <v>264</v>
      </c>
      <c r="B65" s="23" t="str">
        <f t="shared" si="0"/>
        <v>Full Depth Patch, PCC</v>
      </c>
      <c r="C65" s="137"/>
      <c r="D65" s="24" t="str">
        <f t="shared" si="1"/>
        <v>sy</v>
      </c>
      <c r="E65" s="231">
        <f t="shared" si="2"/>
        <v>112</v>
      </c>
      <c r="F65" s="225">
        <f t="shared" si="3"/>
        <v>44.2</v>
      </c>
      <c r="G65" s="227">
        <v>0.5</v>
      </c>
      <c r="H65" s="227">
        <v>44.7</v>
      </c>
      <c r="I65" s="167">
        <f t="shared" si="7"/>
        <v>0</v>
      </c>
      <c r="J65" s="162">
        <f t="shared" si="4"/>
        <v>4950.4000000000005</v>
      </c>
      <c r="K65" s="162">
        <f t="shared" si="5"/>
        <v>56</v>
      </c>
      <c r="L65" s="162">
        <f t="shared" si="6"/>
        <v>5006.4000000000005</v>
      </c>
      <c r="M65" s="162">
        <f t="shared" si="8"/>
        <v>0</v>
      </c>
      <c r="N65" s="180"/>
      <c r="P65" s="165"/>
      <c r="R65" s="162"/>
    </row>
    <row r="66" spans="1:18">
      <c r="A66" s="256" t="s">
        <v>265</v>
      </c>
      <c r="B66" s="23" t="str">
        <f t="shared" si="0"/>
        <v>Milling</v>
      </c>
      <c r="C66" s="137"/>
      <c r="D66" s="24" t="str">
        <f t="shared" si="1"/>
        <v>sy</v>
      </c>
      <c r="E66" s="231">
        <f t="shared" si="2"/>
        <v>78</v>
      </c>
      <c r="F66" s="225">
        <f t="shared" si="3"/>
        <v>52.7</v>
      </c>
      <c r="G66" s="227">
        <v>-52.7</v>
      </c>
      <c r="H66" s="227">
        <v>0</v>
      </c>
      <c r="I66" s="167">
        <f t="shared" si="7"/>
        <v>0</v>
      </c>
      <c r="J66" s="162">
        <f t="shared" si="4"/>
        <v>4110.6000000000004</v>
      </c>
      <c r="K66" s="162">
        <f t="shared" si="5"/>
        <v>-4110.6000000000004</v>
      </c>
      <c r="L66" s="162">
        <f t="shared" si="6"/>
        <v>0</v>
      </c>
      <c r="M66" s="162">
        <f t="shared" si="8"/>
        <v>0</v>
      </c>
      <c r="N66" s="180"/>
      <c r="P66" s="165"/>
      <c r="R66" s="162"/>
    </row>
    <row r="67" spans="1:18">
      <c r="A67" s="256" t="s">
        <v>266</v>
      </c>
      <c r="B67" s="23" t="str">
        <f t="shared" si="0"/>
        <v>Pavement Removal</v>
      </c>
      <c r="C67" s="137"/>
      <c r="D67" s="24" t="str">
        <f t="shared" si="1"/>
        <v>sy</v>
      </c>
      <c r="E67" s="231">
        <f t="shared" si="2"/>
        <v>5.5</v>
      </c>
      <c r="F67" s="225">
        <f t="shared" si="3"/>
        <v>9400.1</v>
      </c>
      <c r="G67" s="227">
        <v>-73.099999999999994</v>
      </c>
      <c r="H67" s="227">
        <v>9327</v>
      </c>
      <c r="I67" s="167">
        <f t="shared" si="7"/>
        <v>0</v>
      </c>
      <c r="J67" s="162">
        <f t="shared" si="4"/>
        <v>51700.55</v>
      </c>
      <c r="K67" s="162">
        <f t="shared" si="5"/>
        <v>-402.04999999999995</v>
      </c>
      <c r="L67" s="162">
        <f t="shared" si="6"/>
        <v>51298.5</v>
      </c>
      <c r="M67" s="162">
        <f t="shared" si="8"/>
        <v>0</v>
      </c>
      <c r="N67" s="180"/>
      <c r="P67" s="165"/>
      <c r="R67" s="162"/>
    </row>
    <row r="68" spans="1:18">
      <c r="A68" s="256" t="s">
        <v>288</v>
      </c>
      <c r="B68" s="23" t="str">
        <f t="shared" si="0"/>
        <v>Curb &amp; Gutter Removal</v>
      </c>
      <c r="C68" s="137"/>
      <c r="D68" s="24" t="str">
        <f t="shared" si="1"/>
        <v>lf</v>
      </c>
      <c r="E68" s="231">
        <f t="shared" si="2"/>
        <v>6.25</v>
      </c>
      <c r="F68" s="225">
        <f t="shared" si="3"/>
        <v>5281</v>
      </c>
      <c r="G68" s="227">
        <v>1</v>
      </c>
      <c r="H68" s="227">
        <v>5282</v>
      </c>
      <c r="I68" s="167">
        <f t="shared" si="7"/>
        <v>0</v>
      </c>
      <c r="J68" s="162">
        <f t="shared" si="4"/>
        <v>33006.25</v>
      </c>
      <c r="K68" s="162">
        <f t="shared" si="5"/>
        <v>6.25</v>
      </c>
      <c r="L68" s="162">
        <f t="shared" si="6"/>
        <v>33012.5</v>
      </c>
      <c r="M68" s="162">
        <f t="shared" si="8"/>
        <v>0</v>
      </c>
      <c r="N68" s="180"/>
      <c r="P68" s="165"/>
      <c r="R68" s="162"/>
    </row>
    <row r="69" spans="1:18">
      <c r="A69" s="256" t="s">
        <v>267</v>
      </c>
      <c r="B69" s="23" t="str">
        <f t="shared" si="0"/>
        <v>Engineering Fabric/Geogrid Fabric</v>
      </c>
      <c r="C69" s="137"/>
      <c r="D69" s="24" t="str">
        <f t="shared" si="1"/>
        <v>sy</v>
      </c>
      <c r="E69" s="231">
        <f t="shared" si="2"/>
        <v>3.5</v>
      </c>
      <c r="F69" s="225">
        <f t="shared" si="3"/>
        <v>2996</v>
      </c>
      <c r="G69" s="227">
        <v>-98.6</v>
      </c>
      <c r="H69" s="227">
        <v>2897.4</v>
      </c>
      <c r="I69" s="167">
        <f t="shared" si="7"/>
        <v>0</v>
      </c>
      <c r="J69" s="162">
        <f t="shared" si="4"/>
        <v>10486</v>
      </c>
      <c r="K69" s="162">
        <f t="shared" si="5"/>
        <v>-345.09999999999997</v>
      </c>
      <c r="L69" s="162">
        <f t="shared" si="6"/>
        <v>10140.9</v>
      </c>
      <c r="M69" s="162">
        <f t="shared" si="8"/>
        <v>0</v>
      </c>
      <c r="N69" s="180"/>
      <c r="P69" s="165"/>
      <c r="R69" s="306"/>
    </row>
    <row r="70" spans="1:18">
      <c r="A70" s="256"/>
      <c r="B70" s="23" t="e">
        <f t="shared" si="0"/>
        <v>#N/A</v>
      </c>
      <c r="C70" s="137"/>
      <c r="D70" s="24" t="e">
        <f t="shared" si="1"/>
        <v>#N/A</v>
      </c>
      <c r="E70" s="231" t="e">
        <f t="shared" si="2"/>
        <v>#N/A</v>
      </c>
      <c r="F70" s="225" t="e">
        <f t="shared" si="3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  <c r="R70" s="306"/>
    </row>
    <row r="71" spans="1:18">
      <c r="A71" s="256" t="s">
        <v>268</v>
      </c>
      <c r="B71" s="23" t="str">
        <f t="shared" si="0"/>
        <v>Temporary Traffic Control</v>
      </c>
      <c r="C71" s="137"/>
      <c r="D71" s="24" t="str">
        <f t="shared" si="1"/>
        <v>ls</v>
      </c>
      <c r="E71" s="231">
        <f t="shared" si="2"/>
        <v>17350</v>
      </c>
      <c r="F71" s="225">
        <f t="shared" si="3"/>
        <v>1</v>
      </c>
      <c r="G71" s="227"/>
      <c r="H71" s="227">
        <v>1</v>
      </c>
      <c r="I71" s="167">
        <f t="shared" si="7"/>
        <v>0</v>
      </c>
      <c r="J71" s="162">
        <f t="shared" si="4"/>
        <v>17350</v>
      </c>
      <c r="K71" s="162">
        <f t="shared" si="5"/>
        <v>0</v>
      </c>
      <c r="L71" s="162">
        <f t="shared" si="6"/>
        <v>17350</v>
      </c>
      <c r="M71" s="162">
        <f t="shared" si="8"/>
        <v>0</v>
      </c>
      <c r="N71" s="180"/>
      <c r="P71" s="165"/>
      <c r="R71" s="306"/>
    </row>
    <row r="72" spans="1:18">
      <c r="A72" s="256"/>
      <c r="B72" s="23" t="e">
        <f t="shared" si="0"/>
        <v>#N/A</v>
      </c>
      <c r="C72" s="137"/>
      <c r="D72" s="24" t="e">
        <f t="shared" si="1"/>
        <v>#N/A</v>
      </c>
      <c r="E72" s="232" t="e">
        <f t="shared" si="2"/>
        <v>#N/A</v>
      </c>
      <c r="F72" s="225" t="e">
        <f t="shared" si="3"/>
        <v>#N/A</v>
      </c>
      <c r="G72" s="227"/>
      <c r="H72" s="227"/>
      <c r="I72" s="167" t="e">
        <f t="shared" si="7"/>
        <v>#N/A</v>
      </c>
      <c r="J72" s="162">
        <f t="shared" si="4"/>
        <v>0</v>
      </c>
      <c r="K72" s="162">
        <f t="shared" si="5"/>
        <v>0</v>
      </c>
      <c r="L72" s="162">
        <f t="shared" si="6"/>
        <v>0</v>
      </c>
      <c r="M72" s="162">
        <f t="shared" si="8"/>
        <v>0</v>
      </c>
      <c r="N72" s="180"/>
      <c r="P72" s="165"/>
      <c r="R72" s="162"/>
    </row>
    <row r="73" spans="1:18">
      <c r="A73" s="256" t="s">
        <v>269</v>
      </c>
      <c r="B73" s="23" t="str">
        <f t="shared" si="0"/>
        <v>Wattles</v>
      </c>
      <c r="C73" s="137"/>
      <c r="D73" s="24" t="str">
        <f t="shared" si="1"/>
        <v>lf</v>
      </c>
      <c r="E73" s="232">
        <f t="shared" si="2"/>
        <v>3.7</v>
      </c>
      <c r="F73" s="225">
        <f t="shared" si="3"/>
        <v>500</v>
      </c>
      <c r="G73" s="227">
        <v>-426</v>
      </c>
      <c r="H73" s="227">
        <v>74</v>
      </c>
      <c r="I73" s="167">
        <f t="shared" si="7"/>
        <v>0</v>
      </c>
      <c r="J73" s="162">
        <f t="shared" si="4"/>
        <v>1850</v>
      </c>
      <c r="K73" s="162">
        <f t="shared" si="5"/>
        <v>-1576.2</v>
      </c>
      <c r="L73" s="162">
        <f t="shared" si="6"/>
        <v>273.8</v>
      </c>
      <c r="M73" s="162">
        <f t="shared" si="8"/>
        <v>0</v>
      </c>
      <c r="N73" s="180"/>
      <c r="P73" s="165"/>
      <c r="R73" s="162"/>
    </row>
    <row r="74" spans="1:18">
      <c r="A74" s="256" t="s">
        <v>270</v>
      </c>
      <c r="B74" s="23" t="str">
        <f t="shared" ref="B74:B108" si="10">VLOOKUP($A74,BIDTAB,2,FALSE)</f>
        <v>Inlet Protection Device</v>
      </c>
      <c r="C74" s="137"/>
      <c r="D74" s="24" t="str">
        <f t="shared" ref="D74:D108" si="11">VLOOKUP($A74,BIDTAB,3,FALSE)</f>
        <v>ea</v>
      </c>
      <c r="E74" s="233">
        <f t="shared" ref="E74:E108" si="12">VLOOKUP($A74,BIDTAB,7,FALSE)</f>
        <v>210</v>
      </c>
      <c r="F74" s="225">
        <f t="shared" ref="F74:F108" si="13">VLOOKUP($A74,BIDTAB,4,FALSE)</f>
        <v>17</v>
      </c>
      <c r="G74" s="227">
        <v>-8</v>
      </c>
      <c r="H74" s="227">
        <v>9</v>
      </c>
      <c r="I74" s="167">
        <f t="shared" si="7"/>
        <v>0</v>
      </c>
      <c r="J74" s="162">
        <f t="shared" ref="J74:J77" si="14">IF(ISERROR(F74*E74),0,F74*E74)</f>
        <v>3570</v>
      </c>
      <c r="K74" s="162">
        <f t="shared" ref="K74:K77" si="15">IF(ISERROR(G74*E74),0,G74*E74)</f>
        <v>-1680</v>
      </c>
      <c r="L74" s="162">
        <f t="shared" ref="L74:L77" si="16">IF(ISERROR(H74*E74),0,H74*E74)</f>
        <v>1890</v>
      </c>
      <c r="M74" s="162">
        <f t="shared" si="8"/>
        <v>0</v>
      </c>
      <c r="N74" s="180"/>
      <c r="P74" s="165"/>
      <c r="R74" s="162"/>
    </row>
    <row r="75" spans="1:18">
      <c r="A75" s="256" t="s">
        <v>271</v>
      </c>
      <c r="B75" s="23" t="str">
        <f t="shared" si="10"/>
        <v>Inlet Protection Device, Maintenance</v>
      </c>
      <c r="C75" s="137"/>
      <c r="D75" s="24" t="str">
        <f t="shared" si="11"/>
        <v>ea</v>
      </c>
      <c r="E75" s="233">
        <f t="shared" si="12"/>
        <v>52.5</v>
      </c>
      <c r="F75" s="225">
        <f t="shared" si="13"/>
        <v>17</v>
      </c>
      <c r="G75" s="227"/>
      <c r="H75" s="227">
        <v>17</v>
      </c>
      <c r="I75" s="167">
        <f t="shared" ref="I75:I108" si="17">IF(ISBLANK(G75),F75,F75+G75)-H75</f>
        <v>0</v>
      </c>
      <c r="J75" s="162">
        <f t="shared" si="14"/>
        <v>892.5</v>
      </c>
      <c r="K75" s="162">
        <f t="shared" si="15"/>
        <v>0</v>
      </c>
      <c r="L75" s="162">
        <f t="shared" si="16"/>
        <v>892.5</v>
      </c>
      <c r="M75" s="162">
        <f t="shared" ref="M75:M77" si="18">SUM(J75:K75)-L75</f>
        <v>0</v>
      </c>
      <c r="N75" s="180"/>
      <c r="P75" s="165"/>
      <c r="R75" s="162"/>
    </row>
    <row r="76" spans="1:18">
      <c r="A76" s="256" t="s">
        <v>272</v>
      </c>
      <c r="B76" s="23" t="str">
        <f t="shared" si="10"/>
        <v>Modular Block Retaining Wall</v>
      </c>
      <c r="C76" s="137"/>
      <c r="D76" s="24" t="str">
        <f t="shared" si="11"/>
        <v>sf</v>
      </c>
      <c r="E76" s="233">
        <f t="shared" si="12"/>
        <v>70.349999999999994</v>
      </c>
      <c r="F76" s="225">
        <f t="shared" si="13"/>
        <v>60</v>
      </c>
      <c r="G76" s="227">
        <v>83</v>
      </c>
      <c r="H76" s="227">
        <v>143</v>
      </c>
      <c r="I76" s="167">
        <f t="shared" si="17"/>
        <v>0</v>
      </c>
      <c r="J76" s="162">
        <f t="shared" si="14"/>
        <v>4221</v>
      </c>
      <c r="K76" s="162">
        <f t="shared" si="15"/>
        <v>5839.0499999999993</v>
      </c>
      <c r="L76" s="162">
        <f t="shared" si="16"/>
        <v>10060.049999999999</v>
      </c>
      <c r="M76" s="162">
        <f t="shared" si="18"/>
        <v>0</v>
      </c>
      <c r="N76" s="180"/>
      <c r="P76" s="165"/>
      <c r="R76" s="162"/>
    </row>
    <row r="77" spans="1:18">
      <c r="A77" s="256"/>
      <c r="B77" s="23" t="e">
        <f t="shared" si="10"/>
        <v>#N/A</v>
      </c>
      <c r="C77" s="137"/>
      <c r="D77" s="24" t="e">
        <f t="shared" si="11"/>
        <v>#N/A</v>
      </c>
      <c r="E77" s="232" t="e">
        <f t="shared" si="12"/>
        <v>#N/A</v>
      </c>
      <c r="F77" s="225" t="e">
        <f t="shared" si="13"/>
        <v>#N/A</v>
      </c>
      <c r="G77" s="227"/>
      <c r="H77" s="227"/>
      <c r="I77" s="167" t="e">
        <f t="shared" si="17"/>
        <v>#N/A</v>
      </c>
      <c r="J77" s="162">
        <f t="shared" si="14"/>
        <v>0</v>
      </c>
      <c r="K77" s="162">
        <f t="shared" si="15"/>
        <v>0</v>
      </c>
      <c r="L77" s="162">
        <f t="shared" si="16"/>
        <v>0</v>
      </c>
      <c r="M77" s="162">
        <f t="shared" si="18"/>
        <v>0</v>
      </c>
      <c r="N77" s="180"/>
      <c r="P77" s="165"/>
      <c r="R77" s="162"/>
    </row>
    <row r="78" spans="1:18">
      <c r="A78" s="256" t="s">
        <v>273</v>
      </c>
      <c r="B78" s="23" t="str">
        <f t="shared" si="10"/>
        <v>Construction Survey/Staking</v>
      </c>
      <c r="C78" s="137"/>
      <c r="D78" s="24" t="str">
        <f t="shared" si="11"/>
        <v>ls</v>
      </c>
      <c r="E78" s="232">
        <f t="shared" si="12"/>
        <v>16065</v>
      </c>
      <c r="F78" s="225">
        <f t="shared" si="13"/>
        <v>1</v>
      </c>
      <c r="G78" s="227"/>
      <c r="H78" s="227">
        <v>1</v>
      </c>
      <c r="I78" s="167">
        <f t="shared" si="17"/>
        <v>0</v>
      </c>
      <c r="J78" s="162">
        <f>IF(ISERROR(F78*E78),0,F78*E78)</f>
        <v>16065</v>
      </c>
      <c r="K78" s="162">
        <f>IF(ISERROR(G78*E78),0,G78*E78)</f>
        <v>0</v>
      </c>
      <c r="L78" s="162">
        <f>IF(ISERROR(H78*E78),0,H78*E78)</f>
        <v>16065</v>
      </c>
      <c r="M78" s="162">
        <f t="shared" ref="M78:M108" si="19">SUM(J78:K78)-L78</f>
        <v>0</v>
      </c>
      <c r="N78" s="180"/>
      <c r="P78" s="165"/>
      <c r="R78" s="162"/>
    </row>
    <row r="79" spans="1:18">
      <c r="A79" s="256" t="s">
        <v>274</v>
      </c>
      <c r="B79" s="23" t="str">
        <f t="shared" si="10"/>
        <v>Pedestrian Facility Construction Survey &amp; Staking</v>
      </c>
      <c r="C79" s="137"/>
      <c r="D79" s="24" t="str">
        <f t="shared" si="11"/>
        <v>ea</v>
      </c>
      <c r="E79" s="232">
        <f t="shared" si="12"/>
        <v>275</v>
      </c>
      <c r="F79" s="225">
        <f t="shared" si="13"/>
        <v>13</v>
      </c>
      <c r="G79" s="227">
        <v>3</v>
      </c>
      <c r="H79" s="227">
        <v>16</v>
      </c>
      <c r="I79" s="167">
        <f t="shared" si="17"/>
        <v>0</v>
      </c>
      <c r="J79" s="162">
        <f t="shared" ref="J79:J108" si="20">IF(ISERROR(F79*E79),0,F79*E79)</f>
        <v>3575</v>
      </c>
      <c r="K79" s="162">
        <f t="shared" ref="K79:K108" si="21">IF(ISERROR(G79*E79),0,G79*E79)</f>
        <v>825</v>
      </c>
      <c r="L79" s="162">
        <f t="shared" ref="L79:L108" si="22">IF(ISERROR(H79*E79),0,H79*E79)</f>
        <v>4400</v>
      </c>
      <c r="M79" s="162">
        <f t="shared" si="19"/>
        <v>0</v>
      </c>
      <c r="N79" s="180"/>
      <c r="P79" s="165"/>
      <c r="R79" s="296"/>
    </row>
    <row r="80" spans="1:18">
      <c r="A80" s="256" t="s">
        <v>275</v>
      </c>
      <c r="B80" s="23" t="str">
        <f t="shared" si="10"/>
        <v>Monument Preservation or Replacement</v>
      </c>
      <c r="C80" s="137"/>
      <c r="D80" s="24" t="str">
        <f t="shared" si="11"/>
        <v>ls</v>
      </c>
      <c r="E80" s="231">
        <f t="shared" si="12"/>
        <v>2310</v>
      </c>
      <c r="F80" s="225">
        <f t="shared" si="13"/>
        <v>1</v>
      </c>
      <c r="G80" s="227"/>
      <c r="H80" s="227">
        <v>1</v>
      </c>
      <c r="I80" s="167">
        <f t="shared" si="17"/>
        <v>0</v>
      </c>
      <c r="J80" s="162">
        <f t="shared" si="20"/>
        <v>2310</v>
      </c>
      <c r="K80" s="162">
        <f t="shared" si="21"/>
        <v>0</v>
      </c>
      <c r="L80" s="162">
        <f t="shared" si="22"/>
        <v>2310</v>
      </c>
      <c r="M80" s="162">
        <f t="shared" si="19"/>
        <v>0</v>
      </c>
      <c r="N80" s="180"/>
      <c r="P80" s="165"/>
      <c r="R80" s="296"/>
    </row>
    <row r="81" spans="1:18">
      <c r="A81" s="256" t="s">
        <v>276</v>
      </c>
      <c r="B81" s="23" t="str">
        <f t="shared" si="10"/>
        <v>Mobilization</v>
      </c>
      <c r="C81" s="137"/>
      <c r="D81" s="24" t="str">
        <f t="shared" si="11"/>
        <v>ls</v>
      </c>
      <c r="E81" s="231">
        <f t="shared" si="12"/>
        <v>35000</v>
      </c>
      <c r="F81" s="225">
        <f t="shared" si="13"/>
        <v>1</v>
      </c>
      <c r="G81" s="227"/>
      <c r="H81" s="227">
        <v>1</v>
      </c>
      <c r="I81" s="167">
        <f t="shared" si="17"/>
        <v>0</v>
      </c>
      <c r="J81" s="162">
        <f t="shared" si="20"/>
        <v>35000</v>
      </c>
      <c r="K81" s="162">
        <f t="shared" si="21"/>
        <v>0</v>
      </c>
      <c r="L81" s="162">
        <f t="shared" si="22"/>
        <v>35000</v>
      </c>
      <c r="M81" s="162">
        <f t="shared" si="19"/>
        <v>0</v>
      </c>
      <c r="N81" s="180"/>
      <c r="P81" s="165"/>
      <c r="R81" s="296"/>
    </row>
    <row r="82" spans="1:18">
      <c r="A82" s="256" t="s">
        <v>277</v>
      </c>
      <c r="B82" s="23" t="str">
        <f t="shared" si="10"/>
        <v>Concrete Washout</v>
      </c>
      <c r="C82" s="137"/>
      <c r="D82" s="24" t="str">
        <f t="shared" si="11"/>
        <v>ls</v>
      </c>
      <c r="E82" s="231">
        <f t="shared" si="12"/>
        <v>3900</v>
      </c>
      <c r="F82" s="225">
        <f t="shared" si="13"/>
        <v>1</v>
      </c>
      <c r="G82" s="227">
        <v>-0.5</v>
      </c>
      <c r="H82" s="227">
        <v>0.5</v>
      </c>
      <c r="I82" s="167">
        <f t="shared" si="17"/>
        <v>0</v>
      </c>
      <c r="J82" s="162">
        <f t="shared" si="20"/>
        <v>3900</v>
      </c>
      <c r="K82" s="162">
        <f t="shared" si="21"/>
        <v>-1950</v>
      </c>
      <c r="L82" s="162">
        <f t="shared" si="22"/>
        <v>1950</v>
      </c>
      <c r="M82" s="162">
        <f t="shared" si="19"/>
        <v>0</v>
      </c>
      <c r="N82" s="180"/>
      <c r="P82" s="165"/>
      <c r="R82" s="296"/>
    </row>
    <row r="83" spans="1:18">
      <c r="A83" s="256"/>
      <c r="B83" s="23" t="e">
        <f t="shared" si="10"/>
        <v>#N/A</v>
      </c>
      <c r="C83" s="137"/>
      <c r="D83" s="24" t="e">
        <f t="shared" si="11"/>
        <v>#N/A</v>
      </c>
      <c r="E83" s="231" t="e">
        <f t="shared" si="12"/>
        <v>#N/A</v>
      </c>
      <c r="F83" s="225" t="e">
        <f t="shared" si="13"/>
        <v>#N/A</v>
      </c>
      <c r="G83" s="227"/>
      <c r="H83" s="227"/>
      <c r="I83" s="167" t="e">
        <f t="shared" si="17"/>
        <v>#N/A</v>
      </c>
      <c r="J83" s="162">
        <f t="shared" si="20"/>
        <v>0</v>
      </c>
      <c r="K83" s="162">
        <f t="shared" si="21"/>
        <v>0</v>
      </c>
      <c r="L83" s="162">
        <f t="shared" si="22"/>
        <v>0</v>
      </c>
      <c r="M83" s="162">
        <f t="shared" si="19"/>
        <v>0</v>
      </c>
      <c r="N83" s="180"/>
      <c r="P83" s="165"/>
      <c r="R83" s="296"/>
    </row>
    <row r="84" spans="1:18">
      <c r="A84" s="256" t="s">
        <v>309</v>
      </c>
      <c r="B84" s="23" t="str">
        <f t="shared" si="10"/>
        <v>Sanitary Service Replacement</v>
      </c>
      <c r="C84" s="137"/>
      <c r="D84" s="24" t="str">
        <f t="shared" si="11"/>
        <v>LS</v>
      </c>
      <c r="E84" s="231">
        <f t="shared" si="12"/>
        <v>29800</v>
      </c>
      <c r="F84" s="225">
        <f t="shared" si="13"/>
        <v>1</v>
      </c>
      <c r="G84" s="227"/>
      <c r="H84" s="227">
        <v>1</v>
      </c>
      <c r="I84" s="167">
        <f t="shared" si="17"/>
        <v>0</v>
      </c>
      <c r="J84" s="162">
        <f t="shared" si="20"/>
        <v>29800</v>
      </c>
      <c r="K84" s="162">
        <f t="shared" si="21"/>
        <v>0</v>
      </c>
      <c r="L84" s="162">
        <f t="shared" si="22"/>
        <v>29800</v>
      </c>
      <c r="M84" s="162">
        <f t="shared" si="19"/>
        <v>0</v>
      </c>
      <c r="N84" s="180"/>
      <c r="P84" s="165"/>
      <c r="R84" s="296"/>
    </row>
    <row r="85" spans="1:18" hidden="1">
      <c r="A85" s="256"/>
      <c r="B85" s="23" t="e">
        <f t="shared" si="10"/>
        <v>#N/A</v>
      </c>
      <c r="C85" s="137"/>
      <c r="D85" s="24" t="e">
        <f t="shared" si="11"/>
        <v>#N/A</v>
      </c>
      <c r="E85" s="231" t="e">
        <f t="shared" si="12"/>
        <v>#N/A</v>
      </c>
      <c r="F85" s="225" t="e">
        <f t="shared" si="13"/>
        <v>#N/A</v>
      </c>
      <c r="G85" s="227"/>
      <c r="H85" s="227"/>
      <c r="I85" s="167" t="e">
        <f t="shared" si="17"/>
        <v>#N/A</v>
      </c>
      <c r="J85" s="162">
        <f t="shared" si="20"/>
        <v>0</v>
      </c>
      <c r="K85" s="162">
        <f t="shared" si="21"/>
        <v>0</v>
      </c>
      <c r="L85" s="162">
        <f t="shared" si="22"/>
        <v>0</v>
      </c>
      <c r="M85" s="162">
        <f t="shared" si="19"/>
        <v>0</v>
      </c>
      <c r="N85" s="180"/>
      <c r="P85" s="165"/>
      <c r="R85" s="296"/>
    </row>
    <row r="86" spans="1:18" hidden="1">
      <c r="A86" s="256"/>
      <c r="B86" s="23" t="e">
        <f t="shared" si="10"/>
        <v>#N/A</v>
      </c>
      <c r="C86" s="137"/>
      <c r="D86" s="24" t="e">
        <f t="shared" si="11"/>
        <v>#N/A</v>
      </c>
      <c r="E86" s="231" t="e">
        <f t="shared" si="12"/>
        <v>#N/A</v>
      </c>
      <c r="F86" s="225" t="e">
        <f t="shared" si="13"/>
        <v>#N/A</v>
      </c>
      <c r="G86" s="227"/>
      <c r="H86" s="227"/>
      <c r="I86" s="167" t="e">
        <f t="shared" si="17"/>
        <v>#N/A</v>
      </c>
      <c r="J86" s="162">
        <f t="shared" si="20"/>
        <v>0</v>
      </c>
      <c r="K86" s="162">
        <f t="shared" si="21"/>
        <v>0</v>
      </c>
      <c r="L86" s="162">
        <f t="shared" si="22"/>
        <v>0</v>
      </c>
      <c r="M86" s="162">
        <f t="shared" si="19"/>
        <v>0</v>
      </c>
      <c r="N86" s="180"/>
      <c r="P86" s="165"/>
      <c r="R86" s="296"/>
    </row>
    <row r="87" spans="1:18" hidden="1">
      <c r="A87" s="256"/>
      <c r="B87" s="23" t="e">
        <f t="shared" si="10"/>
        <v>#N/A</v>
      </c>
      <c r="C87" s="137"/>
      <c r="D87" s="24" t="e">
        <f t="shared" si="11"/>
        <v>#N/A</v>
      </c>
      <c r="E87" s="231" t="e">
        <f t="shared" si="12"/>
        <v>#N/A</v>
      </c>
      <c r="F87" s="225" t="e">
        <f t="shared" si="13"/>
        <v>#N/A</v>
      </c>
      <c r="G87" s="227"/>
      <c r="H87" s="227"/>
      <c r="I87" s="167" t="e">
        <f t="shared" si="17"/>
        <v>#N/A</v>
      </c>
      <c r="J87" s="162">
        <f t="shared" si="20"/>
        <v>0</v>
      </c>
      <c r="K87" s="162">
        <f t="shared" si="21"/>
        <v>0</v>
      </c>
      <c r="L87" s="162">
        <f t="shared" si="22"/>
        <v>0</v>
      </c>
      <c r="M87" s="162">
        <f t="shared" si="19"/>
        <v>0</v>
      </c>
      <c r="N87" s="180"/>
      <c r="P87" s="165"/>
      <c r="R87" s="296"/>
    </row>
    <row r="88" spans="1:18" hidden="1">
      <c r="A88" s="256"/>
      <c r="B88" s="23" t="e">
        <f t="shared" si="10"/>
        <v>#N/A</v>
      </c>
      <c r="C88" s="137"/>
      <c r="D88" s="24" t="e">
        <f t="shared" si="11"/>
        <v>#N/A</v>
      </c>
      <c r="E88" s="231" t="e">
        <f t="shared" si="12"/>
        <v>#N/A</v>
      </c>
      <c r="F88" s="225" t="e">
        <f t="shared" si="13"/>
        <v>#N/A</v>
      </c>
      <c r="G88" s="227"/>
      <c r="H88" s="227"/>
      <c r="I88" s="167" t="e">
        <f t="shared" si="17"/>
        <v>#N/A</v>
      </c>
      <c r="J88" s="162">
        <f t="shared" si="20"/>
        <v>0</v>
      </c>
      <c r="K88" s="162">
        <f t="shared" si="21"/>
        <v>0</v>
      </c>
      <c r="L88" s="162">
        <f t="shared" si="22"/>
        <v>0</v>
      </c>
      <c r="M88" s="162">
        <f t="shared" si="19"/>
        <v>0</v>
      </c>
      <c r="N88" s="180"/>
      <c r="P88" s="165"/>
      <c r="R88" s="296"/>
    </row>
    <row r="89" spans="1:18" hidden="1">
      <c r="A89" s="256"/>
      <c r="B89" s="23" t="e">
        <f t="shared" si="10"/>
        <v>#N/A</v>
      </c>
      <c r="C89" s="137"/>
      <c r="D89" s="24" t="e">
        <f t="shared" si="11"/>
        <v>#N/A</v>
      </c>
      <c r="E89" s="231" t="e">
        <f t="shared" si="12"/>
        <v>#N/A</v>
      </c>
      <c r="F89" s="225" t="e">
        <f t="shared" si="13"/>
        <v>#N/A</v>
      </c>
      <c r="G89" s="227"/>
      <c r="H89" s="227"/>
      <c r="I89" s="167" t="e">
        <f t="shared" si="17"/>
        <v>#N/A</v>
      </c>
      <c r="J89" s="162">
        <f t="shared" si="20"/>
        <v>0</v>
      </c>
      <c r="K89" s="162">
        <f t="shared" si="21"/>
        <v>0</v>
      </c>
      <c r="L89" s="162">
        <f t="shared" si="22"/>
        <v>0</v>
      </c>
      <c r="M89" s="162">
        <f t="shared" si="19"/>
        <v>0</v>
      </c>
      <c r="N89" s="180"/>
      <c r="P89" s="165"/>
      <c r="R89" s="296"/>
    </row>
    <row r="90" spans="1:18" hidden="1">
      <c r="A90" s="256"/>
      <c r="B90" s="23" t="e">
        <f t="shared" si="10"/>
        <v>#N/A</v>
      </c>
      <c r="C90" s="137"/>
      <c r="D90" s="24" t="e">
        <f t="shared" si="11"/>
        <v>#N/A</v>
      </c>
      <c r="E90" s="231" t="e">
        <f t="shared" si="12"/>
        <v>#N/A</v>
      </c>
      <c r="F90" s="225" t="e">
        <f t="shared" si="13"/>
        <v>#N/A</v>
      </c>
      <c r="G90" s="227"/>
      <c r="H90" s="227"/>
      <c r="I90" s="167" t="e">
        <f t="shared" si="17"/>
        <v>#N/A</v>
      </c>
      <c r="J90" s="162">
        <f t="shared" si="20"/>
        <v>0</v>
      </c>
      <c r="K90" s="162">
        <f t="shared" si="21"/>
        <v>0</v>
      </c>
      <c r="L90" s="162">
        <f t="shared" si="22"/>
        <v>0</v>
      </c>
      <c r="M90" s="162">
        <f t="shared" si="19"/>
        <v>0</v>
      </c>
      <c r="N90" s="180"/>
      <c r="P90" s="165"/>
      <c r="R90" s="296"/>
    </row>
    <row r="91" spans="1:18" hidden="1">
      <c r="A91" s="256"/>
      <c r="B91" s="23" t="e">
        <f t="shared" si="10"/>
        <v>#N/A</v>
      </c>
      <c r="C91" s="137"/>
      <c r="D91" s="24" t="e">
        <f t="shared" si="11"/>
        <v>#N/A</v>
      </c>
      <c r="E91" s="231" t="e">
        <f t="shared" si="12"/>
        <v>#N/A</v>
      </c>
      <c r="F91" s="225" t="e">
        <f t="shared" si="13"/>
        <v>#N/A</v>
      </c>
      <c r="G91" s="227"/>
      <c r="H91" s="227"/>
      <c r="I91" s="167" t="e">
        <f t="shared" si="17"/>
        <v>#N/A</v>
      </c>
      <c r="J91" s="162">
        <f t="shared" si="20"/>
        <v>0</v>
      </c>
      <c r="K91" s="162">
        <f t="shared" si="21"/>
        <v>0</v>
      </c>
      <c r="L91" s="162">
        <f t="shared" si="22"/>
        <v>0</v>
      </c>
      <c r="M91" s="162">
        <f t="shared" si="19"/>
        <v>0</v>
      </c>
      <c r="N91" s="180"/>
      <c r="P91" s="165"/>
      <c r="R91" s="296"/>
    </row>
    <row r="92" spans="1:18" hidden="1">
      <c r="A92" s="256"/>
      <c r="B92" s="23" t="e">
        <f t="shared" si="10"/>
        <v>#N/A</v>
      </c>
      <c r="C92" s="137"/>
      <c r="D92" s="24" t="e">
        <f t="shared" si="11"/>
        <v>#N/A</v>
      </c>
      <c r="E92" s="231" t="e">
        <f t="shared" si="12"/>
        <v>#N/A</v>
      </c>
      <c r="F92" s="225" t="e">
        <f t="shared" si="13"/>
        <v>#N/A</v>
      </c>
      <c r="G92" s="227"/>
      <c r="H92" s="227"/>
      <c r="I92" s="167" t="e">
        <f t="shared" si="17"/>
        <v>#N/A</v>
      </c>
      <c r="J92" s="162">
        <f t="shared" si="20"/>
        <v>0</v>
      </c>
      <c r="K92" s="162">
        <f t="shared" si="21"/>
        <v>0</v>
      </c>
      <c r="L92" s="162">
        <f t="shared" si="22"/>
        <v>0</v>
      </c>
      <c r="M92" s="162">
        <f t="shared" si="19"/>
        <v>0</v>
      </c>
      <c r="N92" s="180"/>
      <c r="P92" s="165"/>
      <c r="R92" s="296"/>
    </row>
    <row r="93" spans="1:18" hidden="1">
      <c r="A93" s="256"/>
      <c r="B93" s="23" t="e">
        <f t="shared" si="10"/>
        <v>#N/A</v>
      </c>
      <c r="C93" s="137"/>
      <c r="D93" s="24" t="e">
        <f t="shared" si="11"/>
        <v>#N/A</v>
      </c>
      <c r="E93" s="231" t="e">
        <f t="shared" si="12"/>
        <v>#N/A</v>
      </c>
      <c r="F93" s="225" t="e">
        <f t="shared" si="13"/>
        <v>#N/A</v>
      </c>
      <c r="G93" s="227"/>
      <c r="H93" s="227"/>
      <c r="I93" s="167" t="e">
        <f t="shared" si="17"/>
        <v>#N/A</v>
      </c>
      <c r="J93" s="162">
        <f t="shared" si="20"/>
        <v>0</v>
      </c>
      <c r="K93" s="162">
        <f t="shared" si="21"/>
        <v>0</v>
      </c>
      <c r="L93" s="162">
        <f t="shared" si="22"/>
        <v>0</v>
      </c>
      <c r="M93" s="162">
        <f t="shared" si="19"/>
        <v>0</v>
      </c>
      <c r="N93" s="180"/>
      <c r="P93" s="165"/>
      <c r="R93" s="296"/>
    </row>
    <row r="94" spans="1:18" hidden="1">
      <c r="A94" s="256"/>
      <c r="B94" s="23" t="e">
        <f t="shared" si="10"/>
        <v>#N/A</v>
      </c>
      <c r="C94" s="137"/>
      <c r="D94" s="24" t="e">
        <f t="shared" si="11"/>
        <v>#N/A</v>
      </c>
      <c r="E94" s="231" t="e">
        <f t="shared" si="12"/>
        <v>#N/A</v>
      </c>
      <c r="F94" s="225" t="e">
        <f t="shared" si="13"/>
        <v>#N/A</v>
      </c>
      <c r="G94" s="227"/>
      <c r="H94" s="227"/>
      <c r="I94" s="167" t="e">
        <f t="shared" si="17"/>
        <v>#N/A</v>
      </c>
      <c r="J94" s="162">
        <f t="shared" si="20"/>
        <v>0</v>
      </c>
      <c r="K94" s="162">
        <f t="shared" si="21"/>
        <v>0</v>
      </c>
      <c r="L94" s="162">
        <f t="shared" si="22"/>
        <v>0</v>
      </c>
      <c r="M94" s="162">
        <f t="shared" si="19"/>
        <v>0</v>
      </c>
      <c r="N94" s="180"/>
      <c r="P94" s="165"/>
      <c r="R94" s="296"/>
    </row>
    <row r="95" spans="1:18" hidden="1">
      <c r="A95" s="256"/>
      <c r="B95" s="23" t="e">
        <f t="shared" si="10"/>
        <v>#N/A</v>
      </c>
      <c r="C95" s="137"/>
      <c r="D95" s="24" t="e">
        <f t="shared" si="11"/>
        <v>#N/A</v>
      </c>
      <c r="E95" s="231" t="e">
        <f t="shared" si="12"/>
        <v>#N/A</v>
      </c>
      <c r="F95" s="225" t="e">
        <f t="shared" si="13"/>
        <v>#N/A</v>
      </c>
      <c r="G95" s="227"/>
      <c r="H95" s="227"/>
      <c r="I95" s="167" t="e">
        <f t="shared" si="17"/>
        <v>#N/A</v>
      </c>
      <c r="J95" s="162">
        <f t="shared" si="20"/>
        <v>0</v>
      </c>
      <c r="K95" s="162">
        <f t="shared" si="21"/>
        <v>0</v>
      </c>
      <c r="L95" s="162">
        <f t="shared" si="22"/>
        <v>0</v>
      </c>
      <c r="M95" s="162">
        <f t="shared" si="19"/>
        <v>0</v>
      </c>
      <c r="N95" s="180"/>
      <c r="P95" s="165"/>
      <c r="R95" s="296"/>
    </row>
    <row r="96" spans="1:18" hidden="1">
      <c r="A96" s="256"/>
      <c r="B96" s="23" t="e">
        <f t="shared" si="10"/>
        <v>#N/A</v>
      </c>
      <c r="C96" s="137"/>
      <c r="D96" s="24" t="e">
        <f t="shared" si="11"/>
        <v>#N/A</v>
      </c>
      <c r="E96" s="231" t="e">
        <f t="shared" si="12"/>
        <v>#N/A</v>
      </c>
      <c r="F96" s="225" t="e">
        <f t="shared" si="13"/>
        <v>#N/A</v>
      </c>
      <c r="G96" s="227"/>
      <c r="H96" s="227"/>
      <c r="I96" s="167" t="e">
        <f t="shared" si="17"/>
        <v>#N/A</v>
      </c>
      <c r="J96" s="162">
        <f t="shared" si="20"/>
        <v>0</v>
      </c>
      <c r="K96" s="162">
        <f t="shared" si="21"/>
        <v>0</v>
      </c>
      <c r="L96" s="162">
        <f t="shared" si="22"/>
        <v>0</v>
      </c>
      <c r="M96" s="162">
        <f t="shared" si="19"/>
        <v>0</v>
      </c>
      <c r="N96" s="180"/>
      <c r="P96" s="165"/>
      <c r="R96" s="296"/>
    </row>
    <row r="97" spans="1:19" hidden="1">
      <c r="A97" s="256"/>
      <c r="B97" s="23" t="e">
        <f t="shared" si="10"/>
        <v>#N/A</v>
      </c>
      <c r="C97" s="137"/>
      <c r="D97" s="24" t="e">
        <f t="shared" si="11"/>
        <v>#N/A</v>
      </c>
      <c r="E97" s="231" t="e">
        <f t="shared" si="12"/>
        <v>#N/A</v>
      </c>
      <c r="F97" s="225" t="e">
        <f t="shared" si="13"/>
        <v>#N/A</v>
      </c>
      <c r="G97" s="227"/>
      <c r="H97" s="227"/>
      <c r="I97" s="167" t="e">
        <f t="shared" si="17"/>
        <v>#N/A</v>
      </c>
      <c r="J97" s="162">
        <f t="shared" si="20"/>
        <v>0</v>
      </c>
      <c r="K97" s="162">
        <f t="shared" si="21"/>
        <v>0</v>
      </c>
      <c r="L97" s="162">
        <f t="shared" si="22"/>
        <v>0</v>
      </c>
      <c r="M97" s="162">
        <f t="shared" si="19"/>
        <v>0</v>
      </c>
      <c r="N97" s="180"/>
      <c r="P97" s="165"/>
      <c r="R97" s="296"/>
    </row>
    <row r="98" spans="1:19" hidden="1">
      <c r="A98" s="256"/>
      <c r="B98" s="23" t="e">
        <f t="shared" si="10"/>
        <v>#N/A</v>
      </c>
      <c r="C98" s="137"/>
      <c r="D98" s="24" t="e">
        <f t="shared" si="11"/>
        <v>#N/A</v>
      </c>
      <c r="E98" s="231" t="e">
        <f t="shared" si="12"/>
        <v>#N/A</v>
      </c>
      <c r="F98" s="225" t="e">
        <f t="shared" si="13"/>
        <v>#N/A</v>
      </c>
      <c r="G98" s="227"/>
      <c r="H98" s="227"/>
      <c r="I98" s="167" t="e">
        <f t="shared" si="17"/>
        <v>#N/A</v>
      </c>
      <c r="J98" s="162">
        <f t="shared" si="20"/>
        <v>0</v>
      </c>
      <c r="K98" s="162">
        <f t="shared" si="21"/>
        <v>0</v>
      </c>
      <c r="L98" s="162">
        <f t="shared" si="22"/>
        <v>0</v>
      </c>
      <c r="M98" s="162">
        <f t="shared" si="19"/>
        <v>0</v>
      </c>
      <c r="N98" s="180"/>
      <c r="P98" s="165"/>
      <c r="R98" s="296"/>
    </row>
    <row r="99" spans="1:19" hidden="1">
      <c r="A99" s="256"/>
      <c r="B99" s="23" t="e">
        <f t="shared" si="10"/>
        <v>#N/A</v>
      </c>
      <c r="C99" s="137"/>
      <c r="D99" s="24" t="e">
        <f t="shared" si="11"/>
        <v>#N/A</v>
      </c>
      <c r="E99" s="231" t="e">
        <f t="shared" si="12"/>
        <v>#N/A</v>
      </c>
      <c r="F99" s="225" t="e">
        <f t="shared" si="13"/>
        <v>#N/A</v>
      </c>
      <c r="G99" s="227"/>
      <c r="H99" s="227"/>
      <c r="I99" s="167" t="e">
        <f t="shared" si="17"/>
        <v>#N/A</v>
      </c>
      <c r="J99" s="162">
        <f t="shared" si="20"/>
        <v>0</v>
      </c>
      <c r="K99" s="162">
        <f t="shared" si="21"/>
        <v>0</v>
      </c>
      <c r="L99" s="162">
        <f t="shared" si="22"/>
        <v>0</v>
      </c>
      <c r="M99" s="162">
        <f t="shared" si="19"/>
        <v>0</v>
      </c>
      <c r="N99" s="180"/>
      <c r="P99" s="165"/>
      <c r="R99" s="296"/>
    </row>
    <row r="100" spans="1:19" hidden="1">
      <c r="A100" s="256"/>
      <c r="B100" s="23" t="e">
        <f t="shared" si="10"/>
        <v>#N/A</v>
      </c>
      <c r="C100" s="137"/>
      <c r="D100" s="24" t="e">
        <f t="shared" si="11"/>
        <v>#N/A</v>
      </c>
      <c r="E100" s="231" t="e">
        <f t="shared" si="12"/>
        <v>#N/A</v>
      </c>
      <c r="F100" s="225" t="e">
        <f t="shared" si="13"/>
        <v>#N/A</v>
      </c>
      <c r="G100" s="227"/>
      <c r="H100" s="227"/>
      <c r="I100" s="167" t="e">
        <f t="shared" si="17"/>
        <v>#N/A</v>
      </c>
      <c r="J100" s="162">
        <f t="shared" si="20"/>
        <v>0</v>
      </c>
      <c r="K100" s="162">
        <f t="shared" si="21"/>
        <v>0</v>
      </c>
      <c r="L100" s="162">
        <f t="shared" si="22"/>
        <v>0</v>
      </c>
      <c r="M100" s="162">
        <f t="shared" si="19"/>
        <v>0</v>
      </c>
      <c r="N100" s="180"/>
      <c r="P100" s="165"/>
      <c r="R100" s="296"/>
    </row>
    <row r="101" spans="1:19" hidden="1">
      <c r="A101" s="256"/>
      <c r="B101" s="23" t="e">
        <f t="shared" si="10"/>
        <v>#N/A</v>
      </c>
      <c r="C101" s="137"/>
      <c r="D101" s="24" t="e">
        <f t="shared" si="11"/>
        <v>#N/A</v>
      </c>
      <c r="E101" s="231" t="e">
        <f t="shared" si="12"/>
        <v>#N/A</v>
      </c>
      <c r="F101" s="225" t="e">
        <f t="shared" si="13"/>
        <v>#N/A</v>
      </c>
      <c r="G101" s="227"/>
      <c r="H101" s="227"/>
      <c r="I101" s="167" t="e">
        <f t="shared" si="17"/>
        <v>#N/A</v>
      </c>
      <c r="J101" s="162">
        <f t="shared" si="20"/>
        <v>0</v>
      </c>
      <c r="K101" s="162">
        <f t="shared" si="21"/>
        <v>0</v>
      </c>
      <c r="L101" s="162">
        <f t="shared" si="22"/>
        <v>0</v>
      </c>
      <c r="M101" s="162">
        <f t="shared" si="19"/>
        <v>0</v>
      </c>
      <c r="N101" s="180"/>
      <c r="P101" s="165"/>
      <c r="R101" s="162"/>
    </row>
    <row r="102" spans="1:19" hidden="1">
      <c r="A102" s="256"/>
      <c r="B102" s="23" t="e">
        <f t="shared" si="10"/>
        <v>#N/A</v>
      </c>
      <c r="C102" s="137"/>
      <c r="D102" s="24" t="e">
        <f t="shared" si="11"/>
        <v>#N/A</v>
      </c>
      <c r="E102" s="231" t="e">
        <f t="shared" si="12"/>
        <v>#N/A</v>
      </c>
      <c r="F102" s="225" t="e">
        <f t="shared" si="13"/>
        <v>#N/A</v>
      </c>
      <c r="G102" s="227"/>
      <c r="H102" s="227"/>
      <c r="I102" s="167" t="e">
        <f t="shared" si="17"/>
        <v>#N/A</v>
      </c>
      <c r="J102" s="162">
        <f t="shared" si="20"/>
        <v>0</v>
      </c>
      <c r="K102" s="162">
        <f t="shared" si="21"/>
        <v>0</v>
      </c>
      <c r="L102" s="162">
        <f t="shared" si="22"/>
        <v>0</v>
      </c>
      <c r="M102" s="162">
        <f t="shared" si="19"/>
        <v>0</v>
      </c>
      <c r="N102" s="180"/>
      <c r="P102" s="165"/>
      <c r="R102" s="306"/>
    </row>
    <row r="103" spans="1:19" hidden="1">
      <c r="A103" s="256"/>
      <c r="B103" s="23" t="e">
        <f t="shared" si="10"/>
        <v>#N/A</v>
      </c>
      <c r="C103" s="137"/>
      <c r="D103" s="24" t="e">
        <f t="shared" si="11"/>
        <v>#N/A</v>
      </c>
      <c r="E103" s="231" t="e">
        <f t="shared" si="12"/>
        <v>#N/A</v>
      </c>
      <c r="F103" s="225" t="e">
        <f t="shared" si="13"/>
        <v>#N/A</v>
      </c>
      <c r="G103" s="227"/>
      <c r="H103" s="227"/>
      <c r="I103" s="167" t="e">
        <f t="shared" si="17"/>
        <v>#N/A</v>
      </c>
      <c r="J103" s="162">
        <f t="shared" si="20"/>
        <v>0</v>
      </c>
      <c r="K103" s="162">
        <f t="shared" si="21"/>
        <v>0</v>
      </c>
      <c r="L103" s="162">
        <f t="shared" si="22"/>
        <v>0</v>
      </c>
      <c r="M103" s="162">
        <f t="shared" si="19"/>
        <v>0</v>
      </c>
      <c r="N103" s="180"/>
      <c r="P103" s="165"/>
      <c r="R103" s="162"/>
    </row>
    <row r="104" spans="1:19" hidden="1">
      <c r="A104" s="256"/>
      <c r="B104" s="23" t="e">
        <f t="shared" si="10"/>
        <v>#N/A</v>
      </c>
      <c r="C104" s="137"/>
      <c r="D104" s="24" t="e">
        <f t="shared" si="11"/>
        <v>#N/A</v>
      </c>
      <c r="E104" s="231" t="e">
        <f t="shared" si="12"/>
        <v>#N/A</v>
      </c>
      <c r="F104" s="225" t="e">
        <f t="shared" si="13"/>
        <v>#N/A</v>
      </c>
      <c r="G104" s="227"/>
      <c r="H104" s="227"/>
      <c r="I104" s="167" t="e">
        <f t="shared" si="17"/>
        <v>#N/A</v>
      </c>
      <c r="J104" s="162">
        <f t="shared" si="20"/>
        <v>0</v>
      </c>
      <c r="K104" s="162">
        <f t="shared" si="21"/>
        <v>0</v>
      </c>
      <c r="L104" s="162">
        <f t="shared" si="22"/>
        <v>0</v>
      </c>
      <c r="M104" s="162">
        <f t="shared" si="19"/>
        <v>0</v>
      </c>
      <c r="N104" s="180"/>
      <c r="P104" s="165"/>
      <c r="R104" s="162"/>
    </row>
    <row r="105" spans="1:19" hidden="1">
      <c r="A105" s="256"/>
      <c r="B105" s="23" t="e">
        <f t="shared" si="10"/>
        <v>#N/A</v>
      </c>
      <c r="C105" s="137"/>
      <c r="D105" s="24" t="e">
        <f t="shared" si="11"/>
        <v>#N/A</v>
      </c>
      <c r="E105" s="231" t="e">
        <f t="shared" si="12"/>
        <v>#N/A</v>
      </c>
      <c r="F105" s="225" t="e">
        <f t="shared" si="13"/>
        <v>#N/A</v>
      </c>
      <c r="G105" s="227"/>
      <c r="H105" s="227"/>
      <c r="I105" s="167" t="e">
        <f t="shared" si="17"/>
        <v>#N/A</v>
      </c>
      <c r="J105" s="162">
        <f t="shared" si="20"/>
        <v>0</v>
      </c>
      <c r="K105" s="162">
        <f t="shared" si="21"/>
        <v>0</v>
      </c>
      <c r="L105" s="162">
        <f t="shared" si="22"/>
        <v>0</v>
      </c>
      <c r="M105" s="162">
        <f t="shared" si="19"/>
        <v>0</v>
      </c>
      <c r="N105" s="180"/>
      <c r="P105" s="165"/>
      <c r="R105" s="162"/>
    </row>
    <row r="106" spans="1:19" hidden="1">
      <c r="A106" s="256"/>
      <c r="B106" s="23" t="e">
        <f t="shared" si="10"/>
        <v>#N/A</v>
      </c>
      <c r="C106" s="137"/>
      <c r="D106" s="24" t="e">
        <f t="shared" si="11"/>
        <v>#N/A</v>
      </c>
      <c r="E106" s="231" t="e">
        <f t="shared" si="12"/>
        <v>#N/A</v>
      </c>
      <c r="F106" s="225" t="e">
        <f t="shared" si="13"/>
        <v>#N/A</v>
      </c>
      <c r="G106" s="227"/>
      <c r="H106" s="227"/>
      <c r="I106" s="167" t="e">
        <f t="shared" si="17"/>
        <v>#N/A</v>
      </c>
      <c r="J106" s="162">
        <f t="shared" si="20"/>
        <v>0</v>
      </c>
      <c r="K106" s="162">
        <f t="shared" si="21"/>
        <v>0</v>
      </c>
      <c r="L106" s="162">
        <f t="shared" si="22"/>
        <v>0</v>
      </c>
      <c r="M106" s="162">
        <f t="shared" si="19"/>
        <v>0</v>
      </c>
      <c r="N106" s="180"/>
      <c r="P106" s="165"/>
      <c r="R106" s="306"/>
    </row>
    <row r="107" spans="1:19" hidden="1">
      <c r="A107" s="256"/>
      <c r="B107" s="23" t="e">
        <f t="shared" si="10"/>
        <v>#N/A</v>
      </c>
      <c r="C107" s="137"/>
      <c r="D107" s="24" t="e">
        <f t="shared" si="11"/>
        <v>#N/A</v>
      </c>
      <c r="E107" s="231" t="e">
        <f t="shared" si="12"/>
        <v>#N/A</v>
      </c>
      <c r="F107" s="225" t="e">
        <f t="shared" si="13"/>
        <v>#N/A</v>
      </c>
      <c r="G107" s="227"/>
      <c r="H107" s="227"/>
      <c r="I107" s="167" t="e">
        <f t="shared" si="17"/>
        <v>#N/A</v>
      </c>
      <c r="J107" s="162">
        <f t="shared" si="20"/>
        <v>0</v>
      </c>
      <c r="K107" s="162">
        <f t="shared" si="21"/>
        <v>0</v>
      </c>
      <c r="L107" s="162">
        <f t="shared" si="22"/>
        <v>0</v>
      </c>
      <c r="M107" s="162">
        <f t="shared" si="19"/>
        <v>0</v>
      </c>
      <c r="N107" s="180"/>
      <c r="P107" s="165"/>
      <c r="R107" s="306"/>
    </row>
    <row r="108" spans="1:19" hidden="1">
      <c r="A108" s="256"/>
      <c r="B108" s="23" t="e">
        <f t="shared" si="10"/>
        <v>#N/A</v>
      </c>
      <c r="C108" s="137"/>
      <c r="D108" s="24" t="e">
        <f t="shared" si="11"/>
        <v>#N/A</v>
      </c>
      <c r="E108" s="231" t="e">
        <f t="shared" si="12"/>
        <v>#N/A</v>
      </c>
      <c r="F108" s="225" t="e">
        <f t="shared" si="13"/>
        <v>#N/A</v>
      </c>
      <c r="G108" s="227"/>
      <c r="H108" s="227"/>
      <c r="I108" s="167" t="e">
        <f t="shared" si="17"/>
        <v>#N/A</v>
      </c>
      <c r="J108" s="162">
        <f t="shared" si="20"/>
        <v>0</v>
      </c>
      <c r="K108" s="162">
        <f t="shared" si="21"/>
        <v>0</v>
      </c>
      <c r="L108" s="162">
        <f t="shared" si="22"/>
        <v>0</v>
      </c>
      <c r="M108" s="162">
        <f t="shared" si="19"/>
        <v>0</v>
      </c>
      <c r="N108" s="180"/>
      <c r="P108" s="165"/>
      <c r="R108" s="334"/>
    </row>
    <row r="109" spans="1:19" ht="13.5" thickBot="1">
      <c r="A109" s="257"/>
      <c r="B109" s="181"/>
      <c r="C109" s="181"/>
      <c r="D109" s="182"/>
      <c r="E109" s="183"/>
      <c r="F109" s="228"/>
      <c r="G109" s="229"/>
      <c r="H109" s="229"/>
      <c r="I109" s="230"/>
      <c r="J109" s="183"/>
      <c r="K109" s="183"/>
      <c r="L109" s="183"/>
      <c r="M109" s="184"/>
      <c r="N109" s="180"/>
      <c r="P109" s="165"/>
      <c r="R109" s="306"/>
    </row>
    <row r="110" spans="1:19" ht="13.5" thickTop="1">
      <c r="A110" s="258"/>
      <c r="B110" s="137"/>
      <c r="C110" s="137"/>
      <c r="D110" s="139"/>
      <c r="E110" s="142"/>
      <c r="F110" s="142"/>
      <c r="I110" s="185" t="s">
        <v>115</v>
      </c>
      <c r="J110" s="186">
        <f>SUM(J8:J109)</f>
        <v>1857801.355</v>
      </c>
      <c r="K110" s="186"/>
      <c r="L110" s="188">
        <f>SUM(L8:L109)</f>
        <v>1877244.2875000001</v>
      </c>
      <c r="M110" s="189">
        <f>SUM(M8:M109)</f>
        <v>0</v>
      </c>
      <c r="N110" s="137"/>
      <c r="P110" s="165"/>
      <c r="R110" s="162"/>
      <c r="S110" s="354">
        <f>SUM(R8:R86)*0.05</f>
        <v>0</v>
      </c>
    </row>
    <row r="111" spans="1:19">
      <c r="A111" s="258" t="s">
        <v>56</v>
      </c>
      <c r="B111" s="137"/>
      <c r="C111" s="137"/>
      <c r="D111" s="139"/>
      <c r="E111" s="137" t="s">
        <v>57</v>
      </c>
      <c r="F111" s="137"/>
      <c r="G111" s="199" t="s">
        <v>119</v>
      </c>
      <c r="H111" s="142"/>
      <c r="K111" s="141"/>
      <c r="L111" s="141"/>
      <c r="M111" s="141" t="s">
        <v>63</v>
      </c>
      <c r="N111" s="165"/>
      <c r="O111" s="145">
        <f>L110</f>
        <v>1877244.2875000001</v>
      </c>
      <c r="P111" s="165"/>
    </row>
    <row r="112" spans="1:19">
      <c r="A112" s="258"/>
      <c r="B112" s="137"/>
      <c r="E112" t="str">
        <f>'PROJECT INFO'!F16</f>
        <v>384-8101-439-7517</v>
      </c>
      <c r="F112"/>
      <c r="G112" s="217">
        <f>'PROJECT INFO'!C16</f>
        <v>0</v>
      </c>
      <c r="H112" s="347">
        <f>O116</f>
        <v>28310</v>
      </c>
      <c r="I112" t="str">
        <f>'PROJECT INFO'!J16</f>
        <v>(NTE $1,004,711.76)</v>
      </c>
      <c r="L112" s="141"/>
      <c r="M112" s="141" t="s">
        <v>58</v>
      </c>
      <c r="N112" s="165"/>
      <c r="O112" s="145">
        <v>0</v>
      </c>
      <c r="P112" s="165"/>
    </row>
    <row r="113" spans="1:18">
      <c r="A113" s="259" t="s">
        <v>85</v>
      </c>
      <c r="B113" s="190"/>
      <c r="C113" s="190"/>
      <c r="D113" s="207"/>
      <c r="E113" s="344" t="str">
        <f>'PROJECT INFO'!F17</f>
        <v>607-7704-39-7517</v>
      </c>
      <c r="F113" s="344"/>
      <c r="G113" s="217">
        <f>'PROJECT INFO'!C17</f>
        <v>0</v>
      </c>
      <c r="H113" s="347">
        <v>0</v>
      </c>
      <c r="I113" t="str">
        <f>'PROJECT INFO'!J17</f>
        <v>(NTE $300,000.00)</v>
      </c>
      <c r="L113" s="141"/>
      <c r="M113" s="141" t="str">
        <f>IF(Q113="Y","LESS: 3% RETAINED (MAX $30,000):","LESS: 5% RETAINED:")</f>
        <v>LESS: 5% RETAINED:</v>
      </c>
      <c r="N113" s="165"/>
      <c r="O113" s="145">
        <f>IF(Q113="Y",IF(0.03*O111&lt;30000,ROUND(0.03*O111,2),30000),ROUND(0.05*O111,2))</f>
        <v>93862.21</v>
      </c>
      <c r="P113" s="165"/>
      <c r="Q113" s="191" t="s">
        <v>106</v>
      </c>
      <c r="R113" s="192" t="s">
        <v>107</v>
      </c>
    </row>
    <row r="114" spans="1:18">
      <c r="A114" s="258"/>
      <c r="B114" s="137"/>
      <c r="E114" s="345" t="str">
        <f>'PROJECT INFO'!F18</f>
        <v>510-8461489-7514</v>
      </c>
      <c r="F114" s="345"/>
      <c r="G114" s="217">
        <f>'PROJECT INFO'!C18</f>
        <v>0</v>
      </c>
      <c r="H114" s="347">
        <v>0</v>
      </c>
      <c r="I114" t="str">
        <f>'PROJECT INFO'!J18</f>
        <v>(NTE $360,255.50)</v>
      </c>
      <c r="L114" s="141"/>
      <c r="M114" s="141" t="s">
        <v>59</v>
      </c>
      <c r="N114" s="165"/>
      <c r="O114" s="145">
        <f>O111+O112-O113</f>
        <v>1783382.0775000001</v>
      </c>
      <c r="P114" s="165"/>
    </row>
    <row r="115" spans="1:18">
      <c r="A115" s="259" t="s">
        <v>60</v>
      </c>
      <c r="B115" s="190"/>
      <c r="C115" s="190"/>
      <c r="D115" s="207"/>
      <c r="E115" s="346" t="str">
        <f>'PROJECT INFO'!F19</f>
        <v>520-8542-489-7514</v>
      </c>
      <c r="F115" s="346"/>
      <c r="G115" s="217">
        <f>'PROJECT INFO'!C19</f>
        <v>0</v>
      </c>
      <c r="H115" s="347">
        <v>0</v>
      </c>
      <c r="I115" t="str">
        <f>'PROJECT INFO'!J19</f>
        <v>(NTE $163,034.10)</v>
      </c>
      <c r="L115" s="141"/>
      <c r="M115" s="141" t="s">
        <v>61</v>
      </c>
      <c r="N115" s="165"/>
      <c r="O115" s="145">
        <f>O34</f>
        <v>1755072.0775000001</v>
      </c>
      <c r="P115" s="165"/>
    </row>
    <row r="116" spans="1:18">
      <c r="A116" s="258"/>
      <c r="B116" s="137"/>
      <c r="E116">
        <f>'PROJECT INFO'!F20</f>
        <v>0</v>
      </c>
      <c r="F116"/>
      <c r="G116" s="217">
        <f>'PROJECT INFO'!C20</f>
        <v>0</v>
      </c>
      <c r="H116" s="208"/>
      <c r="I116" t="str">
        <f>'PROJECT INFO'!J20</f>
        <v>(NTE $00.00)</v>
      </c>
      <c r="L116" s="193"/>
      <c r="M116" s="193" t="s">
        <v>62</v>
      </c>
      <c r="N116" s="194"/>
      <c r="O116" s="195">
        <f>O114-O115</f>
        <v>28310</v>
      </c>
      <c r="P116" s="165"/>
    </row>
    <row r="117" spans="1:18">
      <c r="A117" s="258"/>
      <c r="B117" s="137"/>
      <c r="C117" s="137"/>
      <c r="D117" s="139"/>
      <c r="E117">
        <f>'PROJECT INFO'!F21</f>
        <v>0</v>
      </c>
      <c r="F117"/>
      <c r="G117" s="217">
        <f>'PROJECT INFO'!C21</f>
        <v>0</v>
      </c>
      <c r="H117" s="208"/>
      <c r="I117" t="str">
        <f>'PROJECT INFO'!J21</f>
        <v>(NTE $00.00)</v>
      </c>
      <c r="K117" s="137"/>
      <c r="L117" s="137"/>
      <c r="M117" s="137"/>
      <c r="N117" s="137"/>
      <c r="O117" s="137"/>
      <c r="P117" s="165"/>
    </row>
    <row r="118" spans="1:18">
      <c r="E118">
        <f>'PROJECT INFO'!F22</f>
        <v>0</v>
      </c>
      <c r="F118"/>
      <c r="G118" s="217">
        <f>'PROJECT INFO'!C22</f>
        <v>0</v>
      </c>
      <c r="H118" s="208"/>
      <c r="I118" t="str">
        <f>'PROJECT INFO'!J22</f>
        <v>(NTE $00.00)</v>
      </c>
    </row>
    <row r="119" spans="1:18">
      <c r="E119">
        <f>'PROJECT INFO'!F23</f>
        <v>0</v>
      </c>
      <c r="F119"/>
      <c r="G119" s="217">
        <f>'PROJECT INFO'!C23</f>
        <v>0</v>
      </c>
      <c r="H119" s="208"/>
      <c r="I119" t="str">
        <f>'PROJECT INFO'!J23</f>
        <v>(NTE $00.00)</v>
      </c>
    </row>
    <row r="120" spans="1:18">
      <c r="D120" s="139"/>
      <c r="E120">
        <f>'PROJECT INFO'!F24</f>
        <v>0</v>
      </c>
      <c r="F120"/>
      <c r="G120" s="217">
        <f>'PROJECT INFO'!C24</f>
        <v>0</v>
      </c>
      <c r="H120" s="208"/>
      <c r="I120" t="str">
        <f>'PROJECT INFO'!J24</f>
        <v>(NTE $00.00)</v>
      </c>
    </row>
    <row r="121" spans="1:18">
      <c r="D121" s="139"/>
      <c r="E121">
        <f>'PROJECT INFO'!F25</f>
        <v>0</v>
      </c>
      <c r="F121"/>
      <c r="G121" s="217">
        <f>'PROJECT INFO'!C25</f>
        <v>0</v>
      </c>
      <c r="H121" s="208"/>
      <c r="I121" t="str">
        <f>'PROJECT INFO'!J25</f>
        <v>(NTE $00.00)</v>
      </c>
    </row>
    <row r="122" spans="1:18">
      <c r="A122" s="261" t="s">
        <v>122</v>
      </c>
      <c r="D122" s="139"/>
      <c r="E122" s="142"/>
      <c r="K122" s="200"/>
      <c r="L122" s="200"/>
      <c r="M122" s="201" t="s">
        <v>108</v>
      </c>
      <c r="N122" s="200"/>
      <c r="O122" s="202">
        <f>O5-O34</f>
        <v>122172.21249999991</v>
      </c>
      <c r="Q122" s="140" t="s">
        <v>121</v>
      </c>
    </row>
    <row r="123" spans="1:18">
      <c r="D123" s="139"/>
      <c r="E123" s="142"/>
      <c r="K123" s="200"/>
      <c r="L123" s="200"/>
      <c r="M123" s="203" t="s">
        <v>109</v>
      </c>
      <c r="N123" s="204"/>
      <c r="O123" s="205">
        <f>O122-O116</f>
        <v>93862.212499999907</v>
      </c>
    </row>
    <row r="124" spans="1:18">
      <c r="E124" s="142"/>
    </row>
    <row r="125" spans="1:18">
      <c r="E125" s="142"/>
    </row>
    <row r="126" spans="1:18">
      <c r="E126" s="142"/>
    </row>
    <row r="127" spans="1:18">
      <c r="E127" s="142"/>
    </row>
    <row r="128" spans="1:18">
      <c r="E128" s="142"/>
      <c r="G128" s="140" t="s">
        <v>294</v>
      </c>
      <c r="H128" s="353">
        <f>SUM(H112:H115)</f>
        <v>28310</v>
      </c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E148" s="142"/>
    </row>
    <row r="149" spans="3:5">
      <c r="C149" s="137"/>
      <c r="E149" s="142"/>
    </row>
    <row r="150" spans="3:5">
      <c r="E150" s="142"/>
    </row>
    <row r="151" spans="3:5">
      <c r="E151" s="142"/>
    </row>
  </sheetData>
  <conditionalFormatting sqref="B8:I108">
    <cfRule type="expression" dxfId="3" priority="2">
      <formula>ISERROR(B8)</formula>
    </cfRule>
  </conditionalFormatting>
  <conditionalFormatting sqref="E112:F121 H112:H121">
    <cfRule type="expression" dxfId="2" priority="4">
      <formula>ISTEXT($E112)</formula>
    </cfRule>
  </conditionalFormatting>
  <conditionalFormatting sqref="E112:I121">
    <cfRule type="expression" dxfId="1" priority="1">
      <formula>ISNUMBER($E112)</formula>
    </cfRule>
  </conditionalFormatting>
  <conditionalFormatting sqref="K8:K108">
    <cfRule type="cellIs" dxfId="0" priority="3" operator="equal">
      <formula>0</formula>
    </cfRule>
  </conditionalFormatting>
  <pageMargins left="0.25" right="0" top="0.1" bottom="0" header="0.15" footer="0"/>
  <pageSetup scale="46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7E29-B2DD-4DE2-8F7F-F171AF02F397}">
  <dimension ref="C3:H11"/>
  <sheetViews>
    <sheetView workbookViewId="0">
      <selection activeCell="C29" sqref="C29"/>
    </sheetView>
  </sheetViews>
  <sheetFormatPr defaultRowHeight="12.75"/>
  <cols>
    <col min="3" max="3" width="34" customWidth="1"/>
    <col min="4" max="4" width="19.7109375" customWidth="1"/>
    <col min="5" max="5" width="16.42578125" customWidth="1"/>
    <col min="6" max="6" width="13.7109375" customWidth="1"/>
  </cols>
  <sheetData>
    <row r="3" spans="3:8">
      <c r="D3" s="23" t="s">
        <v>305</v>
      </c>
      <c r="E3" s="23" t="s">
        <v>306</v>
      </c>
    </row>
    <row r="4" spans="3:8">
      <c r="C4" s="23" t="s">
        <v>301</v>
      </c>
      <c r="D4" s="208">
        <v>1750000</v>
      </c>
      <c r="E4" s="208"/>
      <c r="F4" s="208"/>
      <c r="G4" s="208"/>
      <c r="H4" s="208"/>
    </row>
    <row r="5" spans="3:8">
      <c r="C5" t="s">
        <v>302</v>
      </c>
      <c r="D5" s="208">
        <v>300000</v>
      </c>
      <c r="E5" s="208"/>
      <c r="F5" s="208"/>
      <c r="G5" s="208"/>
      <c r="H5" s="208"/>
    </row>
    <row r="6" spans="3:8">
      <c r="C6" t="s">
        <v>303</v>
      </c>
      <c r="D6" s="267">
        <v>373315</v>
      </c>
      <c r="E6" s="208"/>
      <c r="F6" s="208"/>
      <c r="G6" s="208"/>
      <c r="H6" s="208"/>
    </row>
    <row r="7" spans="3:8">
      <c r="C7" t="s">
        <v>304</v>
      </c>
      <c r="D7" s="208">
        <v>184224</v>
      </c>
      <c r="E7" s="208"/>
      <c r="F7" s="208"/>
      <c r="G7" s="208"/>
      <c r="H7" s="208"/>
    </row>
    <row r="8" spans="3:8">
      <c r="D8" s="208"/>
      <c r="E8" s="208"/>
      <c r="F8" s="208"/>
      <c r="G8" s="208"/>
      <c r="H8" s="208"/>
    </row>
    <row r="9" spans="3:8">
      <c r="C9" s="23" t="s">
        <v>307</v>
      </c>
      <c r="D9" s="208"/>
      <c r="E9" s="208">
        <f>1828001.36+19442.93</f>
        <v>1847444.29</v>
      </c>
      <c r="F9" s="208"/>
      <c r="G9" s="208"/>
      <c r="H9" s="208"/>
    </row>
    <row r="10" spans="3:8">
      <c r="C10" s="23" t="s">
        <v>308</v>
      </c>
      <c r="D10" s="208"/>
      <c r="E10" s="208">
        <v>300000</v>
      </c>
      <c r="F10" s="208">
        <f>E9*0.15</f>
        <v>277116.64350000001</v>
      </c>
      <c r="G10" s="208"/>
      <c r="H10" s="208"/>
    </row>
    <row r="11" spans="3:8" ht="12.6" customHeight="1">
      <c r="D11" s="208">
        <f>SUM(D4:D10)</f>
        <v>2607539</v>
      </c>
      <c r="E11" s="208">
        <f>SUM(E9:E10)</f>
        <v>2147444.29</v>
      </c>
      <c r="F11" s="208"/>
      <c r="G11" s="208"/>
      <c r="H11" s="208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"/>
  <sheetViews>
    <sheetView workbookViewId="0"/>
  </sheetViews>
  <sheetFormatPr defaultRowHeight="12.75"/>
  <sheetData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N121"/>
  <sheetViews>
    <sheetView topLeftCell="B72" zoomScaleNormal="100" zoomScaleSheetLayoutView="100" workbookViewId="0">
      <selection activeCell="G105" sqref="G105"/>
    </sheetView>
  </sheetViews>
  <sheetFormatPr defaultColWidth="9.7109375" defaultRowHeight="12.75"/>
  <cols>
    <col min="1" max="1" width="7.5703125" style="254" customWidth="1"/>
    <col min="2" max="2" width="77.85546875" style="23" customWidth="1"/>
    <col min="3" max="14" width="12.7109375" style="23" customWidth="1"/>
    <col min="15" max="15" width="9.85546875" style="23" bestFit="1" customWidth="1"/>
    <col min="16" max="16384" width="9.7109375" style="23"/>
  </cols>
  <sheetData>
    <row r="1" spans="1:14">
      <c r="A1" s="108" t="s">
        <v>0</v>
      </c>
      <c r="G1" s="37" t="s">
        <v>1</v>
      </c>
      <c r="H1" s="71"/>
      <c r="I1" s="37" t="s">
        <v>2</v>
      </c>
      <c r="J1" s="71"/>
      <c r="K1" s="37" t="s">
        <v>3</v>
      </c>
      <c r="L1" s="71"/>
      <c r="M1" s="37" t="s">
        <v>125</v>
      </c>
      <c r="N1" s="71"/>
    </row>
    <row r="2" spans="1:14">
      <c r="A2" s="23" t="str">
        <f>CONCATENATE("City of Ames ",Department," Department - ",Division," Division")</f>
        <v>City of Ames Public Works Department - Engineering Division</v>
      </c>
      <c r="B2" s="72"/>
      <c r="G2" s="29" t="s">
        <v>216</v>
      </c>
      <c r="H2" s="73"/>
      <c r="I2" s="29" t="s">
        <v>219</v>
      </c>
      <c r="J2" s="73"/>
      <c r="K2" s="29"/>
      <c r="L2" s="73"/>
      <c r="M2" s="29"/>
      <c r="N2" s="73"/>
    </row>
    <row r="3" spans="1:14">
      <c r="A3" s="27" t="str">
        <f>UPPER(CONCATENATE(Fiscal_Year," ",Program," (",Location,")"))</f>
        <v>2023/24 SEAL COAT STREET PAVEMENT IMPROVEMENTS (E 16TH ST; GLENDALE AVE)</v>
      </c>
      <c r="G3" s="29" t="s">
        <v>217</v>
      </c>
      <c r="H3" s="73"/>
      <c r="I3" s="29" t="s">
        <v>220</v>
      </c>
      <c r="J3" s="73"/>
      <c r="K3" s="29"/>
      <c r="L3" s="73"/>
      <c r="M3" s="29"/>
      <c r="N3" s="73"/>
    </row>
    <row r="4" spans="1:14">
      <c r="A4" s="23"/>
      <c r="C4" s="106" t="s">
        <v>4</v>
      </c>
      <c r="D4" s="107">
        <f>Bid_Let_Date</f>
        <v>45308</v>
      </c>
      <c r="E4" s="109" t="s">
        <v>5</v>
      </c>
      <c r="F4" s="110"/>
      <c r="G4" s="41" t="s">
        <v>218</v>
      </c>
      <c r="H4" s="219"/>
      <c r="I4" s="41" t="s">
        <v>221</v>
      </c>
      <c r="J4" s="219"/>
      <c r="K4" s="41"/>
      <c r="L4" s="219"/>
      <c r="M4" s="41"/>
      <c r="N4" s="219"/>
    </row>
    <row r="5" spans="1:14" s="27" customFormat="1" ht="13.5" thickBot="1">
      <c r="A5" s="249" t="s">
        <v>49</v>
      </c>
      <c r="B5" s="262" t="s">
        <v>25</v>
      </c>
      <c r="C5" s="196" t="s">
        <v>6</v>
      </c>
      <c r="D5" s="196" t="s">
        <v>7</v>
      </c>
      <c r="E5" s="197" t="s">
        <v>126</v>
      </c>
      <c r="F5" s="116" t="s">
        <v>9</v>
      </c>
      <c r="G5" s="197" t="s">
        <v>126</v>
      </c>
      <c r="H5" s="116" t="s">
        <v>9</v>
      </c>
      <c r="I5" s="197" t="s">
        <v>126</v>
      </c>
      <c r="J5" s="116" t="s">
        <v>9</v>
      </c>
      <c r="K5" s="197" t="s">
        <v>126</v>
      </c>
      <c r="L5" s="116" t="s">
        <v>9</v>
      </c>
      <c r="M5" s="197" t="s">
        <v>126</v>
      </c>
      <c r="N5" s="116" t="s">
        <v>9</v>
      </c>
    </row>
    <row r="6" spans="1:14" ht="13.5" thickTop="1">
      <c r="A6" s="250"/>
      <c r="B6" s="263" t="s">
        <v>132</v>
      </c>
      <c r="C6" s="90"/>
      <c r="D6" s="92"/>
      <c r="E6" s="102"/>
      <c r="F6" s="112"/>
      <c r="G6" s="25"/>
      <c r="H6" s="113"/>
      <c r="I6" s="25"/>
      <c r="J6" s="113"/>
      <c r="K6" s="25"/>
      <c r="L6" s="113"/>
      <c r="M6" s="25"/>
      <c r="N6" s="113"/>
    </row>
    <row r="7" spans="1:14">
      <c r="A7" s="251"/>
      <c r="B7" s="4" t="s">
        <v>133</v>
      </c>
      <c r="C7" s="22"/>
      <c r="D7" s="74"/>
      <c r="E7" s="99"/>
      <c r="F7" s="104"/>
      <c r="G7" s="21"/>
      <c r="H7" s="89"/>
      <c r="I7" s="21"/>
      <c r="J7" s="89"/>
      <c r="K7" s="21"/>
      <c r="L7" s="89"/>
      <c r="M7" s="21"/>
      <c r="N7" s="89"/>
    </row>
    <row r="8" spans="1:14">
      <c r="A8" s="251"/>
      <c r="B8" s="21"/>
      <c r="C8" s="22"/>
      <c r="D8" s="74"/>
      <c r="E8" s="99"/>
      <c r="F8" s="104"/>
      <c r="G8" s="21"/>
      <c r="H8" s="89"/>
      <c r="I8" s="21"/>
      <c r="J8" s="89"/>
      <c r="K8" s="21"/>
      <c r="L8" s="89"/>
      <c r="M8" s="21"/>
      <c r="N8" s="89"/>
    </row>
    <row r="9" spans="1:14">
      <c r="A9" s="251"/>
      <c r="B9" s="263" t="s">
        <v>134</v>
      </c>
      <c r="C9" s="22"/>
      <c r="D9" s="74"/>
      <c r="E9" s="99"/>
      <c r="F9" s="104"/>
      <c r="G9" s="21"/>
      <c r="H9" s="89"/>
      <c r="I9" s="21"/>
      <c r="J9" s="89"/>
      <c r="K9" s="21"/>
      <c r="L9" s="89"/>
      <c r="M9" s="21"/>
      <c r="N9" s="89"/>
    </row>
    <row r="10" spans="1:14">
      <c r="A10" s="251" t="s">
        <v>226</v>
      </c>
      <c r="B10" s="4" t="s">
        <v>135</v>
      </c>
      <c r="C10" s="264" t="s">
        <v>209</v>
      </c>
      <c r="D10" s="74">
        <v>991.3</v>
      </c>
      <c r="E10" s="265">
        <v>25</v>
      </c>
      <c r="F10" s="104">
        <f t="shared" ref="F10:F70" si="0">ROUND($D10*E10,2)</f>
        <v>24782.5</v>
      </c>
      <c r="G10" s="21">
        <v>28</v>
      </c>
      <c r="H10" s="89">
        <f t="shared" ref="H10:J70" si="1">ROUND($D10*G10,2)</f>
        <v>27756.400000000001</v>
      </c>
      <c r="I10" s="21">
        <v>15</v>
      </c>
      <c r="J10" s="89">
        <f t="shared" si="1"/>
        <v>14869.5</v>
      </c>
      <c r="K10" s="21"/>
      <c r="L10" s="89">
        <f t="shared" ref="L10:L70" si="2">ROUND($D10*K10,2)</f>
        <v>0</v>
      </c>
      <c r="M10" s="21"/>
      <c r="N10" s="89">
        <f t="shared" ref="N10" si="3">ROUND($D10*M10,2)</f>
        <v>0</v>
      </c>
    </row>
    <row r="11" spans="1:14">
      <c r="A11" s="251" t="s">
        <v>227</v>
      </c>
      <c r="B11" s="21" t="s">
        <v>136</v>
      </c>
      <c r="C11" s="264" t="s">
        <v>209</v>
      </c>
      <c r="D11" s="74">
        <v>3053.5</v>
      </c>
      <c r="E11" s="265">
        <v>25</v>
      </c>
      <c r="F11" s="104">
        <f t="shared" si="0"/>
        <v>76337.5</v>
      </c>
      <c r="G11" s="21">
        <v>20</v>
      </c>
      <c r="H11" s="89">
        <f t="shared" si="1"/>
        <v>61070</v>
      </c>
      <c r="I11" s="21">
        <v>10</v>
      </c>
      <c r="J11" s="89">
        <f t="shared" si="1"/>
        <v>30535</v>
      </c>
      <c r="K11" s="21"/>
      <c r="L11" s="89">
        <f t="shared" si="2"/>
        <v>0</v>
      </c>
      <c r="M11" s="21"/>
      <c r="N11" s="89">
        <f t="shared" ref="N11" si="4">ROUND($D11*M11,2)</f>
        <v>0</v>
      </c>
    </row>
    <row r="12" spans="1:14">
      <c r="A12" s="251" t="s">
        <v>228</v>
      </c>
      <c r="B12" s="21" t="s">
        <v>137</v>
      </c>
      <c r="C12" s="264" t="s">
        <v>210</v>
      </c>
      <c r="D12" s="74">
        <v>11990</v>
      </c>
      <c r="E12" s="265">
        <v>5</v>
      </c>
      <c r="F12" s="104">
        <f t="shared" si="0"/>
        <v>59950</v>
      </c>
      <c r="G12" s="21">
        <v>3.25</v>
      </c>
      <c r="H12" s="89">
        <f t="shared" si="1"/>
        <v>38967.5</v>
      </c>
      <c r="I12" s="21">
        <v>3</v>
      </c>
      <c r="J12" s="89">
        <f t="shared" si="1"/>
        <v>35970</v>
      </c>
      <c r="K12" s="21"/>
      <c r="L12" s="89">
        <f t="shared" si="2"/>
        <v>0</v>
      </c>
      <c r="M12" s="21"/>
      <c r="N12" s="89">
        <f t="shared" ref="N12" si="5">ROUND($D12*M12,2)</f>
        <v>0</v>
      </c>
    </row>
    <row r="13" spans="1:14">
      <c r="A13" s="251" t="s">
        <v>229</v>
      </c>
      <c r="B13" s="21" t="s">
        <v>138</v>
      </c>
      <c r="C13" s="264" t="s">
        <v>210</v>
      </c>
      <c r="D13" s="74">
        <v>11990</v>
      </c>
      <c r="E13" s="265">
        <v>15</v>
      </c>
      <c r="F13" s="104">
        <f t="shared" si="0"/>
        <v>179850</v>
      </c>
      <c r="G13" s="21">
        <v>9</v>
      </c>
      <c r="H13" s="89">
        <f t="shared" si="1"/>
        <v>107910</v>
      </c>
      <c r="I13" s="21">
        <v>8</v>
      </c>
      <c r="J13" s="89">
        <f t="shared" si="1"/>
        <v>95920</v>
      </c>
      <c r="K13" s="21"/>
      <c r="L13" s="89">
        <f t="shared" si="2"/>
        <v>0</v>
      </c>
      <c r="M13" s="21"/>
      <c r="N13" s="89">
        <f t="shared" ref="N13" si="6">ROUND($D13*M13,2)</f>
        <v>0</v>
      </c>
    </row>
    <row r="14" spans="1:14">
      <c r="A14" s="264"/>
      <c r="B14" s="4"/>
      <c r="C14" s="264"/>
      <c r="D14" s="74"/>
      <c r="E14" s="265"/>
      <c r="F14" s="104"/>
      <c r="G14" s="21"/>
      <c r="H14" s="89"/>
      <c r="I14" s="21"/>
      <c r="J14" s="89"/>
      <c r="K14" s="21"/>
      <c r="L14" s="89"/>
      <c r="M14" s="21"/>
      <c r="N14" s="89"/>
    </row>
    <row r="15" spans="1:14">
      <c r="A15" s="264"/>
      <c r="B15" s="263" t="s">
        <v>139</v>
      </c>
      <c r="C15" s="264"/>
      <c r="D15" s="74"/>
      <c r="E15" s="265"/>
      <c r="F15" s="104"/>
      <c r="G15" s="21"/>
      <c r="H15" s="89"/>
      <c r="I15" s="21"/>
      <c r="J15" s="89"/>
      <c r="K15" s="21"/>
      <c r="L15" s="89"/>
      <c r="M15" s="21"/>
      <c r="N15" s="89"/>
    </row>
    <row r="16" spans="1:14">
      <c r="A16" s="264"/>
      <c r="B16" s="4" t="s">
        <v>133</v>
      </c>
      <c r="C16" s="264"/>
      <c r="D16" s="74"/>
      <c r="E16" s="4"/>
      <c r="F16" s="104"/>
      <c r="G16" s="21"/>
      <c r="H16" s="89"/>
      <c r="I16" s="21"/>
      <c r="J16" s="89"/>
      <c r="K16" s="21"/>
      <c r="L16" s="89"/>
      <c r="M16" s="21"/>
      <c r="N16" s="89"/>
    </row>
    <row r="17" spans="1:14">
      <c r="A17" s="264"/>
      <c r="B17" s="4"/>
      <c r="C17" s="264"/>
      <c r="D17" s="74"/>
      <c r="E17" s="265"/>
      <c r="F17" s="104"/>
      <c r="G17" s="21"/>
      <c r="H17" s="89"/>
      <c r="I17" s="21"/>
      <c r="J17" s="89"/>
      <c r="K17" s="21"/>
      <c r="L17" s="89"/>
      <c r="M17" s="21"/>
      <c r="N17" s="89"/>
    </row>
    <row r="18" spans="1:14">
      <c r="A18" s="264"/>
      <c r="B18" s="263" t="s">
        <v>140</v>
      </c>
      <c r="C18" s="264"/>
      <c r="D18" s="74"/>
      <c r="E18" s="265"/>
      <c r="F18" s="104"/>
      <c r="G18" s="21"/>
      <c r="H18" s="89"/>
      <c r="I18" s="21"/>
      <c r="J18" s="89"/>
      <c r="K18" s="21"/>
      <c r="L18" s="89"/>
      <c r="M18" s="21"/>
      <c r="N18" s="89"/>
    </row>
    <row r="19" spans="1:14">
      <c r="A19" s="284" t="s">
        <v>278</v>
      </c>
      <c r="B19" s="269" t="s">
        <v>141</v>
      </c>
      <c r="C19" s="270" t="s">
        <v>211</v>
      </c>
      <c r="D19" s="271">
        <v>578</v>
      </c>
      <c r="E19" s="272">
        <v>120</v>
      </c>
      <c r="F19" s="273">
        <f t="shared" si="0"/>
        <v>69360</v>
      </c>
      <c r="G19" s="269">
        <v>73.5</v>
      </c>
      <c r="H19" s="274">
        <f t="shared" si="1"/>
        <v>42483</v>
      </c>
      <c r="I19" s="269">
        <v>81</v>
      </c>
      <c r="J19" s="274">
        <f t="shared" si="1"/>
        <v>46818</v>
      </c>
      <c r="K19" s="269"/>
      <c r="L19" s="274">
        <f t="shared" si="2"/>
        <v>0</v>
      </c>
      <c r="M19" s="269"/>
      <c r="N19" s="274">
        <f t="shared" ref="N19" si="7">ROUND($D19*M19,2)</f>
        <v>0</v>
      </c>
    </row>
    <row r="20" spans="1:14">
      <c r="A20" s="284" t="s">
        <v>279</v>
      </c>
      <c r="B20" s="269" t="s">
        <v>142</v>
      </c>
      <c r="C20" s="270" t="s">
        <v>212</v>
      </c>
      <c r="D20" s="271">
        <v>12</v>
      </c>
      <c r="E20" s="272">
        <v>1500</v>
      </c>
      <c r="F20" s="273">
        <f t="shared" si="0"/>
        <v>18000</v>
      </c>
      <c r="G20" s="269">
        <v>2100</v>
      </c>
      <c r="H20" s="274">
        <f t="shared" si="1"/>
        <v>25200</v>
      </c>
      <c r="I20" s="269">
        <v>1300</v>
      </c>
      <c r="J20" s="274">
        <f t="shared" si="1"/>
        <v>15600</v>
      </c>
      <c r="K20" s="269"/>
      <c r="L20" s="274">
        <f t="shared" si="2"/>
        <v>0</v>
      </c>
      <c r="M20" s="269"/>
      <c r="N20" s="274">
        <f t="shared" ref="N20" si="8">ROUND($D20*M20,2)</f>
        <v>0</v>
      </c>
    </row>
    <row r="21" spans="1:14" s="299" customFormat="1">
      <c r="A21" s="284" t="s">
        <v>280</v>
      </c>
      <c r="B21" s="315" t="s">
        <v>143</v>
      </c>
      <c r="C21" s="268" t="s">
        <v>211</v>
      </c>
      <c r="D21" s="271">
        <v>578</v>
      </c>
      <c r="E21" s="272">
        <v>30</v>
      </c>
      <c r="F21" s="273">
        <f t="shared" si="0"/>
        <v>17340</v>
      </c>
      <c r="G21" s="269">
        <v>21</v>
      </c>
      <c r="H21" s="274">
        <f t="shared" si="1"/>
        <v>12138</v>
      </c>
      <c r="I21" s="269">
        <v>10</v>
      </c>
      <c r="J21" s="274">
        <f t="shared" si="1"/>
        <v>5780</v>
      </c>
      <c r="K21" s="269"/>
      <c r="L21" s="274">
        <f t="shared" si="2"/>
        <v>0</v>
      </c>
      <c r="M21" s="269"/>
      <c r="N21" s="274">
        <f t="shared" ref="N21" si="9">ROUND($D21*M21,2)</f>
        <v>0</v>
      </c>
    </row>
    <row r="22" spans="1:14">
      <c r="A22" s="283" t="s">
        <v>281</v>
      </c>
      <c r="B22" s="21" t="s">
        <v>144</v>
      </c>
      <c r="C22" s="22" t="s">
        <v>211</v>
      </c>
      <c r="D22" s="74">
        <v>526</v>
      </c>
      <c r="E22" s="266">
        <v>140</v>
      </c>
      <c r="F22" s="104">
        <f t="shared" si="0"/>
        <v>73640</v>
      </c>
      <c r="G22" s="21">
        <v>73.5</v>
      </c>
      <c r="H22" s="89">
        <f t="shared" si="1"/>
        <v>38661</v>
      </c>
      <c r="I22" s="21">
        <v>104</v>
      </c>
      <c r="J22" s="89">
        <f t="shared" si="1"/>
        <v>54704</v>
      </c>
      <c r="K22" s="21"/>
      <c r="L22" s="89">
        <f t="shared" si="2"/>
        <v>0</v>
      </c>
      <c r="M22" s="21"/>
      <c r="N22" s="89">
        <f t="shared" ref="N22" si="10">ROUND($D22*M22,2)</f>
        <v>0</v>
      </c>
    </row>
    <row r="23" spans="1:14">
      <c r="A23" s="283" t="s">
        <v>282</v>
      </c>
      <c r="B23" s="4" t="s">
        <v>145</v>
      </c>
      <c r="C23" s="264" t="s">
        <v>211</v>
      </c>
      <c r="D23" s="74">
        <v>526</v>
      </c>
      <c r="E23" s="265">
        <v>30</v>
      </c>
      <c r="F23" s="104">
        <f t="shared" si="0"/>
        <v>15780</v>
      </c>
      <c r="G23" s="21">
        <v>21</v>
      </c>
      <c r="H23" s="89">
        <f t="shared" si="1"/>
        <v>11046</v>
      </c>
      <c r="I23" s="21">
        <v>15</v>
      </c>
      <c r="J23" s="89">
        <f t="shared" si="1"/>
        <v>7890</v>
      </c>
      <c r="K23" s="21"/>
      <c r="L23" s="89">
        <f t="shared" si="2"/>
        <v>0</v>
      </c>
      <c r="M23" s="21"/>
      <c r="N23" s="89">
        <f t="shared" ref="N23" si="11">ROUND($D23*M23,2)</f>
        <v>0</v>
      </c>
    </row>
    <row r="24" spans="1:14">
      <c r="A24" s="283" t="s">
        <v>283</v>
      </c>
      <c r="B24" s="4" t="s">
        <v>146</v>
      </c>
      <c r="C24" s="264" t="s">
        <v>211</v>
      </c>
      <c r="D24" s="74">
        <v>200</v>
      </c>
      <c r="E24" s="265">
        <v>25</v>
      </c>
      <c r="F24" s="104">
        <f t="shared" si="0"/>
        <v>5000</v>
      </c>
      <c r="G24" s="21">
        <v>25.5</v>
      </c>
      <c r="H24" s="89">
        <f t="shared" si="1"/>
        <v>5100</v>
      </c>
      <c r="I24" s="21">
        <v>25</v>
      </c>
      <c r="J24" s="89">
        <f t="shared" si="1"/>
        <v>5000</v>
      </c>
      <c r="K24" s="21"/>
      <c r="L24" s="89">
        <f t="shared" si="2"/>
        <v>0</v>
      </c>
      <c r="M24" s="21"/>
      <c r="N24" s="89">
        <f t="shared" ref="N24" si="12">ROUND($D24*M24,2)</f>
        <v>0</v>
      </c>
    </row>
    <row r="25" spans="1:14">
      <c r="A25" s="283" t="s">
        <v>285</v>
      </c>
      <c r="B25" s="4" t="s">
        <v>147</v>
      </c>
      <c r="C25" s="264" t="s">
        <v>212</v>
      </c>
      <c r="D25" s="74">
        <v>1</v>
      </c>
      <c r="E25" s="265">
        <v>650</v>
      </c>
      <c r="F25" s="104">
        <f t="shared" si="0"/>
        <v>650</v>
      </c>
      <c r="G25" s="21">
        <v>850</v>
      </c>
      <c r="H25" s="89">
        <f t="shared" si="1"/>
        <v>850</v>
      </c>
      <c r="I25" s="21">
        <v>800</v>
      </c>
      <c r="J25" s="89">
        <f t="shared" si="1"/>
        <v>800</v>
      </c>
      <c r="K25" s="21"/>
      <c r="L25" s="89">
        <f t="shared" si="2"/>
        <v>0</v>
      </c>
      <c r="M25" s="21"/>
      <c r="N25" s="89">
        <f t="shared" ref="N25" si="13">ROUND($D25*M25,2)</f>
        <v>0</v>
      </c>
    </row>
    <row r="26" spans="1:14">
      <c r="A26" s="283" t="s">
        <v>284</v>
      </c>
      <c r="B26" s="21" t="s">
        <v>148</v>
      </c>
      <c r="C26" s="22" t="s">
        <v>212</v>
      </c>
      <c r="D26" s="74">
        <v>1</v>
      </c>
      <c r="E26" s="265">
        <v>750</v>
      </c>
      <c r="F26" s="104">
        <f t="shared" si="0"/>
        <v>750</v>
      </c>
      <c r="G26" s="21">
        <v>600</v>
      </c>
      <c r="H26" s="89">
        <f t="shared" si="1"/>
        <v>600</v>
      </c>
      <c r="I26" s="21">
        <v>1300</v>
      </c>
      <c r="J26" s="89">
        <f t="shared" si="1"/>
        <v>1300</v>
      </c>
      <c r="K26" s="21"/>
      <c r="L26" s="89">
        <f t="shared" si="2"/>
        <v>0</v>
      </c>
      <c r="M26" s="21"/>
      <c r="N26" s="89">
        <f t="shared" ref="N26" si="14">ROUND($D26*M26,2)</f>
        <v>0</v>
      </c>
    </row>
    <row r="27" spans="1:14">
      <c r="A27" s="283"/>
      <c r="B27" s="4"/>
      <c r="C27" s="264"/>
      <c r="D27" s="74"/>
      <c r="E27" s="265"/>
      <c r="F27" s="104"/>
      <c r="G27" s="21"/>
      <c r="H27" s="89"/>
      <c r="I27" s="21"/>
      <c r="J27" s="89"/>
      <c r="K27" s="21"/>
      <c r="L27" s="89"/>
      <c r="M27" s="21"/>
      <c r="N27" s="89"/>
    </row>
    <row r="28" spans="1:14">
      <c r="A28" s="283"/>
      <c r="B28" s="263" t="s">
        <v>149</v>
      </c>
      <c r="C28" s="264"/>
      <c r="D28" s="74"/>
      <c r="E28" s="265"/>
      <c r="F28" s="104"/>
      <c r="G28" s="21"/>
      <c r="H28" s="89"/>
      <c r="I28" s="21"/>
      <c r="J28" s="89"/>
      <c r="K28" s="21"/>
      <c r="L28" s="89"/>
      <c r="M28" s="21"/>
      <c r="N28" s="89"/>
    </row>
    <row r="29" spans="1:14">
      <c r="A29" s="286" t="s">
        <v>235</v>
      </c>
      <c r="B29" s="275" t="s">
        <v>150</v>
      </c>
      <c r="C29" s="276" t="s">
        <v>211</v>
      </c>
      <c r="D29" s="277">
        <v>65</v>
      </c>
      <c r="E29" s="278">
        <v>120</v>
      </c>
      <c r="F29" s="279">
        <f t="shared" si="0"/>
        <v>7800</v>
      </c>
      <c r="G29" s="275">
        <v>42</v>
      </c>
      <c r="H29" s="280">
        <f t="shared" si="1"/>
        <v>2730</v>
      </c>
      <c r="I29" s="275">
        <v>80</v>
      </c>
      <c r="J29" s="280">
        <f t="shared" si="1"/>
        <v>5200</v>
      </c>
      <c r="K29" s="275"/>
      <c r="L29" s="280">
        <f t="shared" si="2"/>
        <v>0</v>
      </c>
      <c r="M29" s="275"/>
      <c r="N29" s="280">
        <f t="shared" ref="N29" si="15">ROUND($D29*M29,2)</f>
        <v>0</v>
      </c>
    </row>
    <row r="30" spans="1:14">
      <c r="A30" s="286" t="s">
        <v>236</v>
      </c>
      <c r="B30" s="275" t="s">
        <v>151</v>
      </c>
      <c r="C30" s="276" t="s">
        <v>211</v>
      </c>
      <c r="D30" s="277">
        <v>35</v>
      </c>
      <c r="E30" s="278">
        <v>200</v>
      </c>
      <c r="F30" s="279">
        <f t="shared" si="0"/>
        <v>7000</v>
      </c>
      <c r="G30" s="275">
        <v>105</v>
      </c>
      <c r="H30" s="280">
        <f t="shared" si="1"/>
        <v>3675</v>
      </c>
      <c r="I30" s="275">
        <v>136</v>
      </c>
      <c r="J30" s="280">
        <f t="shared" si="1"/>
        <v>4760</v>
      </c>
      <c r="K30" s="275"/>
      <c r="L30" s="280">
        <f t="shared" si="2"/>
        <v>0</v>
      </c>
      <c r="M30" s="275"/>
      <c r="N30" s="280">
        <f t="shared" ref="N30" si="16">ROUND($D30*M30,2)</f>
        <v>0</v>
      </c>
    </row>
    <row r="31" spans="1:14">
      <c r="A31" s="286" t="s">
        <v>237</v>
      </c>
      <c r="B31" s="275" t="s">
        <v>152</v>
      </c>
      <c r="C31" s="276" t="s">
        <v>211</v>
      </c>
      <c r="D31" s="277">
        <v>24</v>
      </c>
      <c r="E31" s="278">
        <v>200</v>
      </c>
      <c r="F31" s="279">
        <f t="shared" si="0"/>
        <v>4800</v>
      </c>
      <c r="G31" s="275">
        <v>105</v>
      </c>
      <c r="H31" s="280">
        <f t="shared" si="1"/>
        <v>2520</v>
      </c>
      <c r="I31" s="275">
        <v>150</v>
      </c>
      <c r="J31" s="280">
        <f t="shared" si="1"/>
        <v>3600</v>
      </c>
      <c r="K31" s="275"/>
      <c r="L31" s="280">
        <f t="shared" si="2"/>
        <v>0</v>
      </c>
      <c r="M31" s="275"/>
      <c r="N31" s="280">
        <f t="shared" ref="N31" si="17">ROUND($D31*M31,2)</f>
        <v>0</v>
      </c>
    </row>
    <row r="32" spans="1:14">
      <c r="A32" s="286" t="s">
        <v>238</v>
      </c>
      <c r="B32" s="275" t="s">
        <v>153</v>
      </c>
      <c r="C32" s="276" t="s">
        <v>211</v>
      </c>
      <c r="D32" s="277">
        <v>1072</v>
      </c>
      <c r="E32" s="278">
        <v>150</v>
      </c>
      <c r="F32" s="279">
        <f t="shared" si="0"/>
        <v>160800</v>
      </c>
      <c r="G32" s="275">
        <v>136.5</v>
      </c>
      <c r="H32" s="280">
        <f t="shared" si="1"/>
        <v>146328</v>
      </c>
      <c r="I32" s="275">
        <v>120</v>
      </c>
      <c r="J32" s="280">
        <f t="shared" si="1"/>
        <v>128640</v>
      </c>
      <c r="K32" s="275"/>
      <c r="L32" s="280">
        <f t="shared" si="2"/>
        <v>0</v>
      </c>
      <c r="M32" s="275"/>
      <c r="N32" s="280">
        <f t="shared" ref="N32" si="18">ROUND($D32*M32,2)</f>
        <v>0</v>
      </c>
    </row>
    <row r="33" spans="1:14">
      <c r="A33" s="286" t="s">
        <v>234</v>
      </c>
      <c r="B33" s="275" t="s">
        <v>154</v>
      </c>
      <c r="C33" s="276" t="s">
        <v>211</v>
      </c>
      <c r="D33" s="277">
        <v>75</v>
      </c>
      <c r="E33" s="278">
        <v>250</v>
      </c>
      <c r="F33" s="279">
        <f t="shared" si="0"/>
        <v>18750</v>
      </c>
      <c r="G33" s="275">
        <v>210</v>
      </c>
      <c r="H33" s="280">
        <f t="shared" si="1"/>
        <v>15750</v>
      </c>
      <c r="I33" s="275">
        <v>150</v>
      </c>
      <c r="J33" s="280">
        <f t="shared" si="1"/>
        <v>11250</v>
      </c>
      <c r="K33" s="275"/>
      <c r="L33" s="280">
        <f t="shared" si="2"/>
        <v>0</v>
      </c>
      <c r="M33" s="275"/>
      <c r="N33" s="280">
        <f t="shared" ref="N33" si="19">ROUND($D33*M33,2)</f>
        <v>0</v>
      </c>
    </row>
    <row r="34" spans="1:14">
      <c r="A34" s="286" t="s">
        <v>239</v>
      </c>
      <c r="B34" s="275" t="s">
        <v>155</v>
      </c>
      <c r="C34" s="276" t="s">
        <v>212</v>
      </c>
      <c r="D34" s="277">
        <v>1</v>
      </c>
      <c r="E34" s="278">
        <v>1550</v>
      </c>
      <c r="F34" s="279">
        <f t="shared" si="0"/>
        <v>1550</v>
      </c>
      <c r="G34" s="275">
        <v>1575</v>
      </c>
      <c r="H34" s="280">
        <f t="shared" si="1"/>
        <v>1575</v>
      </c>
      <c r="I34" s="275">
        <v>1000</v>
      </c>
      <c r="J34" s="280">
        <f t="shared" si="1"/>
        <v>1000</v>
      </c>
      <c r="K34" s="275"/>
      <c r="L34" s="280">
        <f t="shared" si="2"/>
        <v>0</v>
      </c>
      <c r="M34" s="275"/>
      <c r="N34" s="280">
        <f t="shared" ref="N34" si="20">ROUND($D34*M34,2)</f>
        <v>0</v>
      </c>
    </row>
    <row r="35" spans="1:14">
      <c r="A35" s="286" t="s">
        <v>240</v>
      </c>
      <c r="B35" s="275" t="s">
        <v>156</v>
      </c>
      <c r="C35" s="276" t="s">
        <v>212</v>
      </c>
      <c r="D35" s="277">
        <v>1</v>
      </c>
      <c r="E35" s="278">
        <v>1300</v>
      </c>
      <c r="F35" s="279">
        <f t="shared" si="0"/>
        <v>1300</v>
      </c>
      <c r="G35" s="275">
        <v>682.5</v>
      </c>
      <c r="H35" s="280">
        <f t="shared" si="1"/>
        <v>682.5</v>
      </c>
      <c r="I35" s="275">
        <v>800</v>
      </c>
      <c r="J35" s="280">
        <f t="shared" si="1"/>
        <v>800</v>
      </c>
      <c r="K35" s="275"/>
      <c r="L35" s="280">
        <f t="shared" si="2"/>
        <v>0</v>
      </c>
      <c r="M35" s="275"/>
      <c r="N35" s="280">
        <f t="shared" ref="N35" si="21">ROUND($D35*M35,2)</f>
        <v>0</v>
      </c>
    </row>
    <row r="36" spans="1:14">
      <c r="A36" s="286" t="s">
        <v>243</v>
      </c>
      <c r="B36" s="275" t="s">
        <v>157</v>
      </c>
      <c r="C36" s="276" t="s">
        <v>212</v>
      </c>
      <c r="D36" s="277">
        <v>5</v>
      </c>
      <c r="E36" s="278">
        <v>1300</v>
      </c>
      <c r="F36" s="279">
        <f t="shared" si="0"/>
        <v>6500</v>
      </c>
      <c r="G36" s="275">
        <v>525</v>
      </c>
      <c r="H36" s="280">
        <f t="shared" si="1"/>
        <v>2625</v>
      </c>
      <c r="I36" s="275">
        <v>780</v>
      </c>
      <c r="J36" s="280">
        <f t="shared" si="1"/>
        <v>3900</v>
      </c>
      <c r="K36" s="275"/>
      <c r="L36" s="280">
        <f t="shared" si="2"/>
        <v>0</v>
      </c>
      <c r="M36" s="275"/>
      <c r="N36" s="280">
        <f t="shared" ref="N36" si="22">ROUND($D36*M36,2)</f>
        <v>0</v>
      </c>
    </row>
    <row r="37" spans="1:14">
      <c r="A37" s="286" t="s">
        <v>241</v>
      </c>
      <c r="B37" s="275" t="s">
        <v>158</v>
      </c>
      <c r="C37" s="276" t="s">
        <v>212</v>
      </c>
      <c r="D37" s="277">
        <v>6</v>
      </c>
      <c r="E37" s="278">
        <v>1100</v>
      </c>
      <c r="F37" s="279">
        <f t="shared" si="0"/>
        <v>6600</v>
      </c>
      <c r="G37" s="275">
        <v>420</v>
      </c>
      <c r="H37" s="280">
        <f t="shared" si="1"/>
        <v>2520</v>
      </c>
      <c r="I37" s="275">
        <v>550</v>
      </c>
      <c r="J37" s="280">
        <f t="shared" si="1"/>
        <v>3300</v>
      </c>
      <c r="K37" s="275"/>
      <c r="L37" s="280">
        <f t="shared" si="2"/>
        <v>0</v>
      </c>
      <c r="M37" s="275"/>
      <c r="N37" s="280">
        <f t="shared" ref="N37" si="23">ROUND($D37*M37,2)</f>
        <v>0</v>
      </c>
    </row>
    <row r="38" spans="1:14">
      <c r="A38" s="286" t="s">
        <v>286</v>
      </c>
      <c r="B38" s="275" t="s">
        <v>159</v>
      </c>
      <c r="C38" s="276" t="s">
        <v>212</v>
      </c>
      <c r="D38" s="277">
        <v>1</v>
      </c>
      <c r="E38" s="278">
        <v>1000</v>
      </c>
      <c r="F38" s="279">
        <f t="shared" si="0"/>
        <v>1000</v>
      </c>
      <c r="G38" s="275">
        <v>420</v>
      </c>
      <c r="H38" s="280">
        <f t="shared" si="1"/>
        <v>420</v>
      </c>
      <c r="I38" s="275">
        <v>520</v>
      </c>
      <c r="J38" s="280">
        <f t="shared" si="1"/>
        <v>520</v>
      </c>
      <c r="K38" s="275"/>
      <c r="L38" s="280">
        <f t="shared" si="2"/>
        <v>0</v>
      </c>
      <c r="M38" s="275"/>
      <c r="N38" s="280">
        <f t="shared" ref="N38" si="24">ROUND($D38*M38,2)</f>
        <v>0</v>
      </c>
    </row>
    <row r="39" spans="1:14">
      <c r="A39" s="286" t="s">
        <v>242</v>
      </c>
      <c r="B39" s="275" t="s">
        <v>160</v>
      </c>
      <c r="C39" s="276" t="s">
        <v>212</v>
      </c>
      <c r="D39" s="277">
        <v>1</v>
      </c>
      <c r="E39" s="278">
        <v>750</v>
      </c>
      <c r="F39" s="279">
        <f t="shared" si="0"/>
        <v>750</v>
      </c>
      <c r="G39" s="275">
        <v>420</v>
      </c>
      <c r="H39" s="280">
        <f t="shared" si="1"/>
        <v>420</v>
      </c>
      <c r="I39" s="275">
        <v>1000</v>
      </c>
      <c r="J39" s="280">
        <f t="shared" si="1"/>
        <v>1000</v>
      </c>
      <c r="K39" s="275"/>
      <c r="L39" s="280">
        <f t="shared" si="2"/>
        <v>0</v>
      </c>
      <c r="M39" s="275"/>
      <c r="N39" s="280">
        <f t="shared" ref="N39" si="25">ROUND($D39*M39,2)</f>
        <v>0</v>
      </c>
    </row>
    <row r="40" spans="1:14">
      <c r="A40" s="285" t="s">
        <v>289</v>
      </c>
      <c r="B40" s="275" t="s">
        <v>161</v>
      </c>
      <c r="C40" s="276" t="s">
        <v>212</v>
      </c>
      <c r="D40" s="277">
        <v>0</v>
      </c>
      <c r="E40" s="278">
        <v>8000</v>
      </c>
      <c r="F40" s="279">
        <f t="shared" si="0"/>
        <v>0</v>
      </c>
      <c r="G40" s="275">
        <v>6300</v>
      </c>
      <c r="H40" s="280">
        <f t="shared" si="1"/>
        <v>0</v>
      </c>
      <c r="I40" s="275">
        <v>10000</v>
      </c>
      <c r="J40" s="280">
        <f t="shared" si="1"/>
        <v>0</v>
      </c>
      <c r="K40" s="275"/>
      <c r="L40" s="280">
        <f t="shared" si="2"/>
        <v>0</v>
      </c>
      <c r="M40" s="275"/>
      <c r="N40" s="280">
        <f t="shared" ref="N40" si="26">ROUND($D40*M40,2)</f>
        <v>0</v>
      </c>
    </row>
    <row r="41" spans="1:14">
      <c r="A41" s="286" t="s">
        <v>233</v>
      </c>
      <c r="B41" s="275" t="s">
        <v>162</v>
      </c>
      <c r="C41" s="276" t="s">
        <v>212</v>
      </c>
      <c r="D41" s="277">
        <v>0</v>
      </c>
      <c r="E41" s="278">
        <v>5000</v>
      </c>
      <c r="F41" s="279">
        <f t="shared" si="0"/>
        <v>0</v>
      </c>
      <c r="G41" s="275">
        <v>5250</v>
      </c>
      <c r="H41" s="280">
        <f t="shared" si="1"/>
        <v>0</v>
      </c>
      <c r="I41" s="275">
        <v>10000</v>
      </c>
      <c r="J41" s="280">
        <f t="shared" si="1"/>
        <v>0</v>
      </c>
      <c r="K41" s="275"/>
      <c r="L41" s="280">
        <f t="shared" si="2"/>
        <v>0</v>
      </c>
      <c r="M41" s="275"/>
      <c r="N41" s="280">
        <f t="shared" ref="N41" si="27">ROUND($D41*M41,2)</f>
        <v>0</v>
      </c>
    </row>
    <row r="42" spans="1:14">
      <c r="A42" s="286" t="s">
        <v>232</v>
      </c>
      <c r="B42" s="275" t="s">
        <v>163</v>
      </c>
      <c r="C42" s="276" t="s">
        <v>212</v>
      </c>
      <c r="D42" s="277">
        <v>15</v>
      </c>
      <c r="E42" s="278">
        <v>5000</v>
      </c>
      <c r="F42" s="279">
        <f t="shared" si="0"/>
        <v>75000</v>
      </c>
      <c r="G42" s="275">
        <v>4200</v>
      </c>
      <c r="H42" s="280">
        <f t="shared" si="1"/>
        <v>63000</v>
      </c>
      <c r="I42" s="275">
        <v>2633</v>
      </c>
      <c r="J42" s="280">
        <f t="shared" si="1"/>
        <v>39495</v>
      </c>
      <c r="K42" s="275"/>
      <c r="L42" s="280">
        <f t="shared" si="2"/>
        <v>0</v>
      </c>
      <c r="M42" s="275"/>
      <c r="N42" s="280">
        <f t="shared" ref="N42" si="28">ROUND($D42*M42,2)</f>
        <v>0</v>
      </c>
    </row>
    <row r="43" spans="1:14">
      <c r="A43" s="286" t="s">
        <v>244</v>
      </c>
      <c r="B43" s="275" t="s">
        <v>164</v>
      </c>
      <c r="C43" s="276" t="s">
        <v>212</v>
      </c>
      <c r="D43" s="277">
        <v>15</v>
      </c>
      <c r="E43" s="278">
        <v>3000</v>
      </c>
      <c r="F43" s="279">
        <f t="shared" si="0"/>
        <v>45000</v>
      </c>
      <c r="G43" s="275">
        <v>3150</v>
      </c>
      <c r="H43" s="280">
        <f t="shared" si="1"/>
        <v>47250</v>
      </c>
      <c r="I43" s="275">
        <v>2425</v>
      </c>
      <c r="J43" s="280">
        <f t="shared" si="1"/>
        <v>36375</v>
      </c>
      <c r="K43" s="275"/>
      <c r="L43" s="280">
        <f t="shared" si="2"/>
        <v>0</v>
      </c>
      <c r="M43" s="275"/>
      <c r="N43" s="280">
        <f t="shared" ref="N43" si="29">ROUND($D43*M43,2)</f>
        <v>0</v>
      </c>
    </row>
    <row r="44" spans="1:14">
      <c r="A44" s="286" t="s">
        <v>245</v>
      </c>
      <c r="B44" s="275" t="s">
        <v>165</v>
      </c>
      <c r="C44" s="276" t="s">
        <v>212</v>
      </c>
      <c r="D44" s="277">
        <v>4</v>
      </c>
      <c r="E44" s="278">
        <v>3500</v>
      </c>
      <c r="F44" s="279">
        <f t="shared" si="0"/>
        <v>14000</v>
      </c>
      <c r="G44" s="275">
        <v>1890</v>
      </c>
      <c r="H44" s="280">
        <f t="shared" si="1"/>
        <v>7560</v>
      </c>
      <c r="I44" s="275">
        <v>2600</v>
      </c>
      <c r="J44" s="280">
        <f t="shared" si="1"/>
        <v>10400</v>
      </c>
      <c r="K44" s="275"/>
      <c r="L44" s="280">
        <f t="shared" si="2"/>
        <v>0</v>
      </c>
      <c r="M44" s="275"/>
      <c r="N44" s="280">
        <f t="shared" ref="N44" si="30">ROUND($D44*M44,2)</f>
        <v>0</v>
      </c>
    </row>
    <row r="45" spans="1:14">
      <c r="A45" s="286" t="s">
        <v>231</v>
      </c>
      <c r="B45" s="275" t="s">
        <v>166</v>
      </c>
      <c r="C45" s="276" t="s">
        <v>212</v>
      </c>
      <c r="D45" s="277">
        <v>2</v>
      </c>
      <c r="E45" s="278">
        <v>3000</v>
      </c>
      <c r="F45" s="279">
        <f t="shared" si="0"/>
        <v>6000</v>
      </c>
      <c r="G45" s="275">
        <v>1575</v>
      </c>
      <c r="H45" s="280">
        <f t="shared" si="1"/>
        <v>3150</v>
      </c>
      <c r="I45" s="275">
        <v>2200</v>
      </c>
      <c r="J45" s="280">
        <f t="shared" si="1"/>
        <v>4400</v>
      </c>
      <c r="K45" s="275"/>
      <c r="L45" s="280">
        <f t="shared" si="2"/>
        <v>0</v>
      </c>
      <c r="M45" s="275"/>
      <c r="N45" s="280">
        <f t="shared" ref="N45" si="31">ROUND($D45*M45,2)</f>
        <v>0</v>
      </c>
    </row>
    <row r="46" spans="1:14">
      <c r="A46" s="286" t="s">
        <v>246</v>
      </c>
      <c r="B46" s="275" t="s">
        <v>167</v>
      </c>
      <c r="C46" s="276" t="s">
        <v>212</v>
      </c>
      <c r="D46" s="277">
        <v>5</v>
      </c>
      <c r="E46" s="278">
        <v>7500</v>
      </c>
      <c r="F46" s="279">
        <f t="shared" si="0"/>
        <v>37500</v>
      </c>
      <c r="G46" s="275">
        <v>8400</v>
      </c>
      <c r="H46" s="280">
        <f t="shared" si="1"/>
        <v>42000</v>
      </c>
      <c r="I46" s="275">
        <v>7700</v>
      </c>
      <c r="J46" s="280">
        <f t="shared" si="1"/>
        <v>38500</v>
      </c>
      <c r="K46" s="275"/>
      <c r="L46" s="280">
        <f t="shared" si="2"/>
        <v>0</v>
      </c>
      <c r="M46" s="275"/>
      <c r="N46" s="280">
        <f t="shared" ref="N46" si="32">ROUND($D46*M46,2)</f>
        <v>0</v>
      </c>
    </row>
    <row r="47" spans="1:14">
      <c r="A47" s="286" t="s">
        <v>247</v>
      </c>
      <c r="B47" s="275" t="s">
        <v>168</v>
      </c>
      <c r="C47" s="276" t="s">
        <v>212</v>
      </c>
      <c r="D47" s="277">
        <v>10</v>
      </c>
      <c r="E47" s="278">
        <v>750</v>
      </c>
      <c r="F47" s="279">
        <f t="shared" si="0"/>
        <v>7500</v>
      </c>
      <c r="G47" s="275">
        <v>650</v>
      </c>
      <c r="H47" s="280">
        <f t="shared" si="1"/>
        <v>6500</v>
      </c>
      <c r="I47" s="275">
        <v>1000</v>
      </c>
      <c r="J47" s="280">
        <f t="shared" si="1"/>
        <v>10000</v>
      </c>
      <c r="K47" s="275"/>
      <c r="L47" s="280">
        <f t="shared" si="2"/>
        <v>0</v>
      </c>
      <c r="M47" s="275"/>
      <c r="N47" s="280">
        <f t="shared" ref="N47" si="33">ROUND($D47*M47,2)</f>
        <v>0</v>
      </c>
    </row>
    <row r="48" spans="1:14">
      <c r="A48" s="286" t="s">
        <v>230</v>
      </c>
      <c r="B48" s="275" t="s">
        <v>169</v>
      </c>
      <c r="C48" s="276" t="s">
        <v>212</v>
      </c>
      <c r="D48" s="277">
        <v>4</v>
      </c>
      <c r="E48" s="278">
        <v>1500</v>
      </c>
      <c r="F48" s="279">
        <f t="shared" si="0"/>
        <v>6000</v>
      </c>
      <c r="G48" s="275">
        <v>1050</v>
      </c>
      <c r="H48" s="280">
        <f t="shared" si="1"/>
        <v>4200</v>
      </c>
      <c r="I48" s="275">
        <v>1000</v>
      </c>
      <c r="J48" s="280">
        <f t="shared" si="1"/>
        <v>4000</v>
      </c>
      <c r="K48" s="275"/>
      <c r="L48" s="280">
        <f t="shared" si="2"/>
        <v>0</v>
      </c>
      <c r="M48" s="275"/>
      <c r="N48" s="280">
        <f t="shared" ref="N48" si="34">ROUND($D48*M48,2)</f>
        <v>0</v>
      </c>
    </row>
    <row r="49" spans="1:14">
      <c r="A49" s="286" t="s">
        <v>248</v>
      </c>
      <c r="B49" s="275" t="s">
        <v>170</v>
      </c>
      <c r="C49" s="276" t="s">
        <v>212</v>
      </c>
      <c r="D49" s="277">
        <v>2</v>
      </c>
      <c r="E49" s="278">
        <v>1000</v>
      </c>
      <c r="F49" s="279">
        <f t="shared" si="0"/>
        <v>2000</v>
      </c>
      <c r="G49" s="275">
        <v>525</v>
      </c>
      <c r="H49" s="280">
        <f t="shared" si="1"/>
        <v>1050</v>
      </c>
      <c r="I49" s="275">
        <v>800</v>
      </c>
      <c r="J49" s="280">
        <f t="shared" si="1"/>
        <v>1600</v>
      </c>
      <c r="K49" s="275"/>
      <c r="L49" s="280">
        <f t="shared" si="2"/>
        <v>0</v>
      </c>
      <c r="M49" s="275"/>
      <c r="N49" s="280">
        <f t="shared" ref="N49" si="35">ROUND($D49*M49,2)</f>
        <v>0</v>
      </c>
    </row>
    <row r="50" spans="1:14">
      <c r="A50" s="286" t="s">
        <v>249</v>
      </c>
      <c r="B50" s="275" t="s">
        <v>171</v>
      </c>
      <c r="C50" s="276" t="s">
        <v>212</v>
      </c>
      <c r="D50" s="277">
        <v>12</v>
      </c>
      <c r="E50" s="278">
        <v>3000</v>
      </c>
      <c r="F50" s="279">
        <f t="shared" si="0"/>
        <v>36000</v>
      </c>
      <c r="G50" s="275">
        <v>525</v>
      </c>
      <c r="H50" s="280">
        <f t="shared" si="1"/>
        <v>6300</v>
      </c>
      <c r="I50" s="275">
        <v>1600</v>
      </c>
      <c r="J50" s="280">
        <f t="shared" si="1"/>
        <v>19200</v>
      </c>
      <c r="K50" s="275"/>
      <c r="L50" s="280">
        <f t="shared" si="2"/>
        <v>0</v>
      </c>
      <c r="M50" s="275"/>
      <c r="N50" s="280">
        <f t="shared" ref="N50" si="36">ROUND($D50*M50,2)</f>
        <v>0</v>
      </c>
    </row>
    <row r="51" spans="1:14">
      <c r="A51" s="283"/>
      <c r="B51" s="4"/>
      <c r="C51" s="264"/>
      <c r="D51" s="74"/>
      <c r="E51" s="265"/>
      <c r="F51" s="104"/>
      <c r="G51" s="21"/>
      <c r="H51" s="89"/>
      <c r="I51" s="21"/>
      <c r="J51" s="89"/>
      <c r="K51" s="21"/>
      <c r="L51" s="89"/>
      <c r="M51" s="21"/>
      <c r="N51" s="89"/>
    </row>
    <row r="52" spans="1:14">
      <c r="A52" s="283"/>
      <c r="B52" s="263" t="s">
        <v>172</v>
      </c>
      <c r="C52" s="264"/>
      <c r="D52" s="74"/>
      <c r="E52" s="265"/>
      <c r="F52" s="104"/>
      <c r="G52" s="21"/>
      <c r="H52" s="89"/>
      <c r="I52" s="21"/>
      <c r="J52" s="89"/>
      <c r="K52" s="21"/>
      <c r="L52" s="89"/>
      <c r="M52" s="21"/>
      <c r="N52" s="89"/>
    </row>
    <row r="53" spans="1:14">
      <c r="A53" s="287" t="s">
        <v>250</v>
      </c>
      <c r="B53" s="269" t="s">
        <v>173</v>
      </c>
      <c r="C53" s="268" t="s">
        <v>212</v>
      </c>
      <c r="D53" s="271">
        <v>8</v>
      </c>
      <c r="E53" s="272">
        <v>10000</v>
      </c>
      <c r="F53" s="273">
        <f t="shared" si="0"/>
        <v>80000</v>
      </c>
      <c r="G53" s="269">
        <v>9342.7000000000007</v>
      </c>
      <c r="H53" s="274">
        <f t="shared" si="1"/>
        <v>74741.600000000006</v>
      </c>
      <c r="I53" s="269">
        <v>6600</v>
      </c>
      <c r="J53" s="274">
        <f t="shared" si="1"/>
        <v>52800</v>
      </c>
      <c r="K53" s="269"/>
      <c r="L53" s="274">
        <f t="shared" si="2"/>
        <v>0</v>
      </c>
      <c r="M53" s="269"/>
      <c r="N53" s="274">
        <f t="shared" ref="N53" si="37">ROUND($D53*M53,2)</f>
        <v>0</v>
      </c>
    </row>
    <row r="54" spans="1:14">
      <c r="A54" s="251" t="s">
        <v>252</v>
      </c>
      <c r="B54" s="21" t="s">
        <v>174</v>
      </c>
      <c r="C54" s="264" t="s">
        <v>212</v>
      </c>
      <c r="D54" s="74">
        <v>1</v>
      </c>
      <c r="E54" s="265">
        <v>10000</v>
      </c>
      <c r="F54" s="104">
        <f t="shared" si="0"/>
        <v>10000</v>
      </c>
      <c r="G54" s="21">
        <v>9532.36</v>
      </c>
      <c r="H54" s="89">
        <f t="shared" si="1"/>
        <v>9532.36</v>
      </c>
      <c r="I54" s="21">
        <v>5500</v>
      </c>
      <c r="J54" s="89">
        <f t="shared" si="1"/>
        <v>5500</v>
      </c>
      <c r="K54" s="21"/>
      <c r="L54" s="89">
        <f t="shared" si="2"/>
        <v>0</v>
      </c>
      <c r="M54" s="21"/>
      <c r="N54" s="89">
        <f t="shared" ref="N54" si="38">ROUND($D54*M54,2)</f>
        <v>0</v>
      </c>
    </row>
    <row r="55" spans="1:14">
      <c r="A55" s="251" t="s">
        <v>251</v>
      </c>
      <c r="B55" s="21" t="s">
        <v>175</v>
      </c>
      <c r="C55" s="22" t="s">
        <v>212</v>
      </c>
      <c r="D55" s="74">
        <v>7</v>
      </c>
      <c r="E55" s="265">
        <v>7500</v>
      </c>
      <c r="F55" s="104">
        <f t="shared" si="0"/>
        <v>52500</v>
      </c>
      <c r="G55" s="21">
        <v>3535.16</v>
      </c>
      <c r="H55" s="89">
        <f t="shared" si="1"/>
        <v>24746.12</v>
      </c>
      <c r="I55" s="21">
        <v>4000</v>
      </c>
      <c r="J55" s="89">
        <f t="shared" si="1"/>
        <v>28000</v>
      </c>
      <c r="K55" s="21"/>
      <c r="L55" s="89">
        <f t="shared" si="2"/>
        <v>0</v>
      </c>
      <c r="M55" s="21"/>
      <c r="N55" s="89">
        <f t="shared" ref="N55" si="39">ROUND($D55*M55,2)</f>
        <v>0</v>
      </c>
    </row>
    <row r="56" spans="1:14">
      <c r="A56" s="283" t="s">
        <v>290</v>
      </c>
      <c r="B56" s="21" t="s">
        <v>176</v>
      </c>
      <c r="C56" s="22" t="s">
        <v>212</v>
      </c>
      <c r="D56" s="74">
        <v>2</v>
      </c>
      <c r="E56" s="265">
        <v>10000</v>
      </c>
      <c r="F56" s="104">
        <f t="shared" si="0"/>
        <v>20000</v>
      </c>
      <c r="G56" s="21">
        <v>7274.85</v>
      </c>
      <c r="H56" s="89">
        <f t="shared" si="1"/>
        <v>14549.7</v>
      </c>
      <c r="I56" s="21">
        <v>5500</v>
      </c>
      <c r="J56" s="89">
        <f t="shared" si="1"/>
        <v>11000</v>
      </c>
      <c r="K56" s="21"/>
      <c r="L56" s="89">
        <f t="shared" si="2"/>
        <v>0</v>
      </c>
      <c r="M56" s="21"/>
      <c r="N56" s="89">
        <f t="shared" ref="N56" si="40">ROUND($D56*M56,2)</f>
        <v>0</v>
      </c>
    </row>
    <row r="57" spans="1:14">
      <c r="A57" s="287" t="s">
        <v>253</v>
      </c>
      <c r="B57" s="269" t="s">
        <v>177</v>
      </c>
      <c r="C57" s="270" t="s">
        <v>212</v>
      </c>
      <c r="D57" s="271">
        <v>1</v>
      </c>
      <c r="E57" s="272">
        <v>1500</v>
      </c>
      <c r="F57" s="273">
        <f t="shared" si="0"/>
        <v>1500</v>
      </c>
      <c r="G57" s="269">
        <v>2200</v>
      </c>
      <c r="H57" s="274">
        <f t="shared" si="1"/>
        <v>2200</v>
      </c>
      <c r="I57" s="269">
        <v>3500</v>
      </c>
      <c r="J57" s="274">
        <f t="shared" si="1"/>
        <v>3500</v>
      </c>
      <c r="K57" s="269"/>
      <c r="L57" s="274">
        <f t="shared" si="2"/>
        <v>0</v>
      </c>
      <c r="M57" s="269"/>
      <c r="N57" s="274">
        <f t="shared" ref="N57" si="41">ROUND($D57*M57,2)</f>
        <v>0</v>
      </c>
    </row>
    <row r="58" spans="1:14">
      <c r="A58" s="287" t="s">
        <v>254</v>
      </c>
      <c r="B58" s="269" t="s">
        <v>178</v>
      </c>
      <c r="C58" s="270" t="s">
        <v>212</v>
      </c>
      <c r="D58" s="271">
        <v>1</v>
      </c>
      <c r="E58" s="272">
        <v>3000</v>
      </c>
      <c r="F58" s="273">
        <f t="shared" si="0"/>
        <v>3000</v>
      </c>
      <c r="G58" s="269">
        <v>5250</v>
      </c>
      <c r="H58" s="274">
        <f t="shared" si="1"/>
        <v>5250</v>
      </c>
      <c r="I58" s="269">
        <v>3500</v>
      </c>
      <c r="J58" s="274">
        <f t="shared" si="1"/>
        <v>3500</v>
      </c>
      <c r="K58" s="269"/>
      <c r="L58" s="274">
        <f t="shared" si="2"/>
        <v>0</v>
      </c>
      <c r="M58" s="269"/>
      <c r="N58" s="274">
        <f t="shared" ref="N58" si="42">ROUND($D58*M58,2)</f>
        <v>0</v>
      </c>
    </row>
    <row r="59" spans="1:14">
      <c r="A59" s="308" t="s">
        <v>256</v>
      </c>
      <c r="B59" s="309" t="s">
        <v>179</v>
      </c>
      <c r="C59" s="310" t="s">
        <v>212</v>
      </c>
      <c r="D59" s="311">
        <v>3</v>
      </c>
      <c r="E59" s="312">
        <v>1500</v>
      </c>
      <c r="F59" s="313">
        <f t="shared" si="0"/>
        <v>4500</v>
      </c>
      <c r="G59" s="309">
        <v>1236.5</v>
      </c>
      <c r="H59" s="314">
        <f t="shared" si="1"/>
        <v>3709.5</v>
      </c>
      <c r="I59" s="309">
        <v>2500</v>
      </c>
      <c r="J59" s="314">
        <f t="shared" si="1"/>
        <v>7500</v>
      </c>
      <c r="K59" s="309"/>
      <c r="L59" s="314">
        <f t="shared" si="2"/>
        <v>0</v>
      </c>
      <c r="M59" s="309"/>
      <c r="N59" s="314">
        <f t="shared" ref="N59" si="43">ROUND($D59*M59,2)</f>
        <v>0</v>
      </c>
    </row>
    <row r="60" spans="1:14">
      <c r="A60" s="287" t="s">
        <v>255</v>
      </c>
      <c r="B60" s="269" t="s">
        <v>180</v>
      </c>
      <c r="C60" s="270" t="s">
        <v>212</v>
      </c>
      <c r="D60" s="271">
        <v>9</v>
      </c>
      <c r="E60" s="272">
        <v>1500</v>
      </c>
      <c r="F60" s="273">
        <f t="shared" si="0"/>
        <v>13500</v>
      </c>
      <c r="G60" s="269">
        <v>1050</v>
      </c>
      <c r="H60" s="274">
        <f t="shared" si="1"/>
        <v>9450</v>
      </c>
      <c r="I60" s="269">
        <v>800</v>
      </c>
      <c r="J60" s="274">
        <f t="shared" si="1"/>
        <v>7200</v>
      </c>
      <c r="K60" s="269"/>
      <c r="L60" s="274">
        <f t="shared" si="2"/>
        <v>0</v>
      </c>
      <c r="M60" s="269"/>
      <c r="N60" s="274">
        <f t="shared" ref="N60" si="44">ROUND($D60*M60,2)</f>
        <v>0</v>
      </c>
    </row>
    <row r="61" spans="1:14">
      <c r="A61" s="251" t="s">
        <v>257</v>
      </c>
      <c r="B61" s="21" t="s">
        <v>181</v>
      </c>
      <c r="C61" s="22" t="s">
        <v>212</v>
      </c>
      <c r="D61" s="74">
        <v>1</v>
      </c>
      <c r="E61" s="265">
        <v>1500</v>
      </c>
      <c r="F61" s="104">
        <f t="shared" si="0"/>
        <v>1500</v>
      </c>
      <c r="G61" s="21">
        <v>1050</v>
      </c>
      <c r="H61" s="89">
        <f t="shared" si="1"/>
        <v>1050</v>
      </c>
      <c r="I61" s="21">
        <v>800</v>
      </c>
      <c r="J61" s="89">
        <f t="shared" si="1"/>
        <v>800</v>
      </c>
      <c r="K61" s="21"/>
      <c r="L61" s="89">
        <f t="shared" si="2"/>
        <v>0</v>
      </c>
      <c r="M61" s="21"/>
      <c r="N61" s="89">
        <f t="shared" ref="N61" si="45">ROUND($D61*M61,2)</f>
        <v>0</v>
      </c>
    </row>
    <row r="62" spans="1:14">
      <c r="A62" s="251" t="s">
        <v>287</v>
      </c>
      <c r="B62" s="21" t="s">
        <v>182</v>
      </c>
      <c r="C62" s="22" t="s">
        <v>212</v>
      </c>
      <c r="D62" s="74">
        <v>9</v>
      </c>
      <c r="E62" s="265">
        <v>1500</v>
      </c>
      <c r="F62" s="104">
        <f t="shared" si="0"/>
        <v>13500</v>
      </c>
      <c r="G62" s="21">
        <v>1050</v>
      </c>
      <c r="H62" s="89">
        <f t="shared" si="1"/>
        <v>9450</v>
      </c>
      <c r="I62" s="21">
        <v>600</v>
      </c>
      <c r="J62" s="89">
        <f t="shared" si="1"/>
        <v>5400</v>
      </c>
      <c r="K62" s="21"/>
      <c r="L62" s="89">
        <f t="shared" si="2"/>
        <v>0</v>
      </c>
      <c r="M62" s="21"/>
      <c r="N62" s="89">
        <f t="shared" ref="N62" si="46">ROUND($D62*M62,2)</f>
        <v>0</v>
      </c>
    </row>
    <row r="63" spans="1:14">
      <c r="A63" s="283"/>
      <c r="B63" s="4"/>
      <c r="C63" s="264"/>
      <c r="D63" s="74"/>
      <c r="E63" s="265"/>
      <c r="F63" s="104"/>
      <c r="G63" s="21"/>
      <c r="H63" s="89"/>
      <c r="I63" s="21"/>
      <c r="J63" s="89"/>
      <c r="K63" s="21"/>
      <c r="L63" s="89"/>
      <c r="M63" s="21"/>
      <c r="N63" s="89"/>
    </row>
    <row r="64" spans="1:14">
      <c r="A64" s="283"/>
      <c r="B64" s="263" t="s">
        <v>183</v>
      </c>
      <c r="C64" s="264"/>
      <c r="D64" s="74"/>
      <c r="E64" s="265"/>
      <c r="F64" s="104"/>
      <c r="G64" s="21"/>
      <c r="H64" s="89"/>
      <c r="I64" s="21"/>
      <c r="J64" s="89"/>
      <c r="K64" s="21"/>
      <c r="L64" s="89"/>
      <c r="M64" s="21"/>
      <c r="N64" s="89"/>
    </row>
    <row r="65" spans="1:14">
      <c r="A65" s="316" t="s">
        <v>258</v>
      </c>
      <c r="B65" s="317" t="s">
        <v>184</v>
      </c>
      <c r="C65" s="318" t="s">
        <v>211</v>
      </c>
      <c r="D65" s="319">
        <v>5300</v>
      </c>
      <c r="E65" s="320">
        <v>30</v>
      </c>
      <c r="F65" s="321">
        <f t="shared" si="0"/>
        <v>159000</v>
      </c>
      <c r="G65" s="322">
        <v>35</v>
      </c>
      <c r="H65" s="323">
        <f t="shared" si="1"/>
        <v>185500</v>
      </c>
      <c r="I65" s="322">
        <v>40.5</v>
      </c>
      <c r="J65" s="323">
        <f t="shared" si="1"/>
        <v>214650</v>
      </c>
      <c r="K65" s="322"/>
      <c r="L65" s="323">
        <f t="shared" si="2"/>
        <v>0</v>
      </c>
      <c r="M65" s="322"/>
      <c r="N65" s="323">
        <f t="shared" ref="N65" si="47">ROUND($D65*M65,2)</f>
        <v>0</v>
      </c>
    </row>
    <row r="66" spans="1:14">
      <c r="A66" s="251" t="s">
        <v>259</v>
      </c>
      <c r="B66" s="21" t="s">
        <v>185</v>
      </c>
      <c r="C66" s="22" t="s">
        <v>213</v>
      </c>
      <c r="D66" s="74">
        <v>2844.8</v>
      </c>
      <c r="E66" s="265">
        <v>110</v>
      </c>
      <c r="F66" s="104">
        <f t="shared" si="0"/>
        <v>312928</v>
      </c>
      <c r="G66" s="21">
        <v>103</v>
      </c>
      <c r="H66" s="89">
        <f t="shared" si="1"/>
        <v>293014.40000000002</v>
      </c>
      <c r="I66" s="21">
        <v>120</v>
      </c>
      <c r="J66" s="89">
        <f t="shared" si="1"/>
        <v>341376</v>
      </c>
      <c r="K66" s="21"/>
      <c r="L66" s="89">
        <f t="shared" si="2"/>
        <v>0</v>
      </c>
      <c r="M66" s="21"/>
      <c r="N66" s="89">
        <f t="shared" ref="N66" si="48">ROUND($D66*M66,2)</f>
        <v>0</v>
      </c>
    </row>
    <row r="67" spans="1:14">
      <c r="A67" s="251" t="s">
        <v>260</v>
      </c>
      <c r="B67" s="21" t="s">
        <v>186</v>
      </c>
      <c r="C67" s="22" t="s">
        <v>213</v>
      </c>
      <c r="D67" s="74">
        <v>1144.4000000000001</v>
      </c>
      <c r="E67" s="265">
        <v>120</v>
      </c>
      <c r="F67" s="104">
        <f t="shared" si="0"/>
        <v>137328</v>
      </c>
      <c r="G67" s="21">
        <v>108</v>
      </c>
      <c r="H67" s="89">
        <f t="shared" si="1"/>
        <v>123595.2</v>
      </c>
      <c r="I67" s="21">
        <v>131</v>
      </c>
      <c r="J67" s="89">
        <f t="shared" si="1"/>
        <v>149916.4</v>
      </c>
      <c r="K67" s="21"/>
      <c r="L67" s="89">
        <f t="shared" si="2"/>
        <v>0</v>
      </c>
      <c r="M67" s="21"/>
      <c r="N67" s="89">
        <f t="shared" ref="N67" si="49">ROUND($D67*M67,2)</f>
        <v>0</v>
      </c>
    </row>
    <row r="68" spans="1:14">
      <c r="A68" s="251" t="s">
        <v>261</v>
      </c>
      <c r="B68" s="21" t="s">
        <v>187</v>
      </c>
      <c r="C68" s="22" t="s">
        <v>210</v>
      </c>
      <c r="D68" s="74">
        <v>1191.7</v>
      </c>
      <c r="E68" s="265">
        <v>20</v>
      </c>
      <c r="F68" s="104">
        <f t="shared" si="0"/>
        <v>23834</v>
      </c>
      <c r="G68" s="21">
        <v>10.75</v>
      </c>
      <c r="H68" s="89">
        <f t="shared" si="1"/>
        <v>12810.78</v>
      </c>
      <c r="I68" s="21">
        <v>9.5</v>
      </c>
      <c r="J68" s="89">
        <f t="shared" si="1"/>
        <v>11321.15</v>
      </c>
      <c r="K68" s="21"/>
      <c r="L68" s="89">
        <f t="shared" si="2"/>
        <v>0</v>
      </c>
      <c r="M68" s="21"/>
      <c r="N68" s="89">
        <f t="shared" ref="N68" si="50">ROUND($D68*M68,2)</f>
        <v>0</v>
      </c>
    </row>
    <row r="69" spans="1:14" s="325" customFormat="1">
      <c r="A69" s="316" t="s">
        <v>262</v>
      </c>
      <c r="B69" s="322" t="s">
        <v>188</v>
      </c>
      <c r="C69" s="324" t="s">
        <v>210</v>
      </c>
      <c r="D69" s="319">
        <v>1293</v>
      </c>
      <c r="E69" s="320">
        <v>85</v>
      </c>
      <c r="F69" s="321">
        <f t="shared" si="0"/>
        <v>109905</v>
      </c>
      <c r="G69" s="322">
        <v>94</v>
      </c>
      <c r="H69" s="323">
        <f t="shared" si="1"/>
        <v>121542</v>
      </c>
      <c r="I69" s="322">
        <v>69</v>
      </c>
      <c r="J69" s="323">
        <f t="shared" si="1"/>
        <v>89217</v>
      </c>
      <c r="K69" s="322"/>
      <c r="L69" s="323">
        <f t="shared" si="2"/>
        <v>0</v>
      </c>
      <c r="M69" s="322"/>
      <c r="N69" s="323">
        <f t="shared" ref="N69" si="51">ROUND($D69*M69,2)</f>
        <v>0</v>
      </c>
    </row>
    <row r="70" spans="1:14">
      <c r="A70" s="251" t="s">
        <v>263</v>
      </c>
      <c r="B70" s="21" t="s">
        <v>189</v>
      </c>
      <c r="C70" s="22" t="s">
        <v>214</v>
      </c>
      <c r="D70" s="74">
        <v>263</v>
      </c>
      <c r="E70" s="265">
        <v>45</v>
      </c>
      <c r="F70" s="104">
        <f t="shared" si="0"/>
        <v>11835</v>
      </c>
      <c r="G70" s="75">
        <v>45</v>
      </c>
      <c r="H70" s="89">
        <f t="shared" si="1"/>
        <v>11835</v>
      </c>
      <c r="I70" s="75">
        <v>55</v>
      </c>
      <c r="J70" s="89">
        <f t="shared" si="1"/>
        <v>14465</v>
      </c>
      <c r="K70" s="75"/>
      <c r="L70" s="89">
        <f t="shared" si="2"/>
        <v>0</v>
      </c>
      <c r="M70" s="75"/>
      <c r="N70" s="89">
        <f t="shared" ref="N70" si="52">ROUND($D70*M70,2)</f>
        <v>0</v>
      </c>
    </row>
    <row r="71" spans="1:14">
      <c r="A71" s="251" t="s">
        <v>264</v>
      </c>
      <c r="B71" s="21" t="s">
        <v>190</v>
      </c>
      <c r="C71" s="22" t="s">
        <v>210</v>
      </c>
      <c r="D71" s="74">
        <v>44.2</v>
      </c>
      <c r="E71" s="265">
        <v>150</v>
      </c>
      <c r="F71" s="104">
        <f t="shared" ref="F71:F94" si="53">ROUND($D71*E71,2)</f>
        <v>6630</v>
      </c>
      <c r="G71" s="75">
        <v>112</v>
      </c>
      <c r="H71" s="89">
        <f t="shared" ref="H71:J94" si="54">ROUND($D71*G71,2)</f>
        <v>4950.3999999999996</v>
      </c>
      <c r="I71" s="75">
        <v>400</v>
      </c>
      <c r="J71" s="89">
        <f t="shared" si="54"/>
        <v>17680</v>
      </c>
      <c r="K71" s="75"/>
      <c r="L71" s="89">
        <f t="shared" ref="L71:L94" si="55">ROUND($D71*K71,2)</f>
        <v>0</v>
      </c>
      <c r="M71" s="75"/>
      <c r="N71" s="89">
        <f t="shared" ref="N71" si="56">ROUND($D71*M71,2)</f>
        <v>0</v>
      </c>
    </row>
    <row r="72" spans="1:14">
      <c r="A72" s="251" t="s">
        <v>265</v>
      </c>
      <c r="B72" s="21" t="s">
        <v>191</v>
      </c>
      <c r="C72" s="22" t="s">
        <v>210</v>
      </c>
      <c r="D72" s="74">
        <v>52.7</v>
      </c>
      <c r="E72" s="265">
        <v>5</v>
      </c>
      <c r="F72" s="104">
        <f t="shared" si="53"/>
        <v>263.5</v>
      </c>
      <c r="G72" s="75">
        <v>78</v>
      </c>
      <c r="H72" s="89">
        <f t="shared" si="54"/>
        <v>4110.6000000000004</v>
      </c>
      <c r="I72" s="75">
        <v>50</v>
      </c>
      <c r="J72" s="89">
        <f t="shared" si="54"/>
        <v>2635</v>
      </c>
      <c r="K72" s="75"/>
      <c r="L72" s="89">
        <f t="shared" si="55"/>
        <v>0</v>
      </c>
      <c r="M72" s="75"/>
      <c r="N72" s="89">
        <f t="shared" ref="N72" si="57">ROUND($D72*M72,2)</f>
        <v>0</v>
      </c>
    </row>
    <row r="73" spans="1:14">
      <c r="A73" s="251" t="s">
        <v>266</v>
      </c>
      <c r="B73" s="21" t="s">
        <v>192</v>
      </c>
      <c r="C73" s="22" t="s">
        <v>210</v>
      </c>
      <c r="D73" s="74">
        <v>9400.1</v>
      </c>
      <c r="E73" s="265">
        <v>10</v>
      </c>
      <c r="F73" s="104">
        <f t="shared" si="53"/>
        <v>94001</v>
      </c>
      <c r="G73" s="21">
        <v>5.5</v>
      </c>
      <c r="H73" s="89">
        <f t="shared" si="54"/>
        <v>51700.55</v>
      </c>
      <c r="I73" s="21">
        <v>8</v>
      </c>
      <c r="J73" s="89">
        <f t="shared" si="54"/>
        <v>75200.800000000003</v>
      </c>
      <c r="K73" s="21"/>
      <c r="L73" s="89">
        <f t="shared" si="55"/>
        <v>0</v>
      </c>
      <c r="M73" s="21"/>
      <c r="N73" s="89">
        <f t="shared" ref="N73" si="58">ROUND($D73*M73,2)</f>
        <v>0</v>
      </c>
    </row>
    <row r="74" spans="1:14">
      <c r="A74" s="251" t="s">
        <v>288</v>
      </c>
      <c r="B74" s="21" t="s">
        <v>193</v>
      </c>
      <c r="C74" s="22" t="s">
        <v>211</v>
      </c>
      <c r="D74" s="74">
        <v>5281</v>
      </c>
      <c r="E74" s="265">
        <v>15</v>
      </c>
      <c r="F74" s="104">
        <f t="shared" si="53"/>
        <v>79215</v>
      </c>
      <c r="G74" s="21">
        <v>6.25</v>
      </c>
      <c r="H74" s="89">
        <f t="shared" si="54"/>
        <v>33006.25</v>
      </c>
      <c r="I74" s="21">
        <v>8.5</v>
      </c>
      <c r="J74" s="89">
        <f t="shared" si="54"/>
        <v>44888.5</v>
      </c>
      <c r="K74" s="21"/>
      <c r="L74" s="89">
        <f t="shared" si="55"/>
        <v>0</v>
      </c>
      <c r="M74" s="21"/>
      <c r="N74" s="89">
        <f t="shared" ref="N74" si="59">ROUND($D74*M74,2)</f>
        <v>0</v>
      </c>
    </row>
    <row r="75" spans="1:14">
      <c r="A75" s="251" t="s">
        <v>267</v>
      </c>
      <c r="B75" s="21" t="s">
        <v>194</v>
      </c>
      <c r="C75" s="264" t="s">
        <v>210</v>
      </c>
      <c r="D75" s="74">
        <v>2996</v>
      </c>
      <c r="E75" s="265">
        <v>5</v>
      </c>
      <c r="F75" s="104">
        <f t="shared" si="53"/>
        <v>14980</v>
      </c>
      <c r="G75" s="21">
        <v>3.5</v>
      </c>
      <c r="H75" s="89">
        <f t="shared" si="54"/>
        <v>10486</v>
      </c>
      <c r="I75" s="21">
        <v>6</v>
      </c>
      <c r="J75" s="89">
        <f t="shared" si="54"/>
        <v>17976</v>
      </c>
      <c r="K75" s="21"/>
      <c r="L75" s="89">
        <f t="shared" si="55"/>
        <v>0</v>
      </c>
      <c r="M75" s="21"/>
      <c r="N75" s="89">
        <f t="shared" ref="N75" si="60">ROUND($D75*M75,2)</f>
        <v>0</v>
      </c>
    </row>
    <row r="76" spans="1:14">
      <c r="A76" s="283"/>
      <c r="B76" s="4"/>
      <c r="C76" s="264"/>
      <c r="D76" s="74"/>
      <c r="E76" s="265"/>
      <c r="F76" s="104"/>
      <c r="G76" s="21"/>
      <c r="H76" s="89"/>
      <c r="I76" s="21"/>
      <c r="J76" s="89"/>
      <c r="K76" s="21"/>
      <c r="L76" s="89"/>
      <c r="M76" s="21"/>
      <c r="N76" s="89"/>
    </row>
    <row r="77" spans="1:14">
      <c r="A77" s="283"/>
      <c r="B77" s="263" t="s">
        <v>195</v>
      </c>
      <c r="C77" s="264"/>
      <c r="D77" s="74"/>
      <c r="E77" s="265"/>
      <c r="F77" s="104"/>
      <c r="G77" s="21"/>
      <c r="H77" s="89"/>
      <c r="I77" s="21"/>
      <c r="J77" s="89"/>
      <c r="K77" s="21"/>
      <c r="L77" s="89"/>
      <c r="M77" s="21"/>
      <c r="N77" s="89"/>
    </row>
    <row r="78" spans="1:14">
      <c r="A78" s="251" t="s">
        <v>268</v>
      </c>
      <c r="B78" s="4" t="s">
        <v>196</v>
      </c>
      <c r="C78" s="264" t="s">
        <v>215</v>
      </c>
      <c r="D78" s="74">
        <v>1</v>
      </c>
      <c r="E78" s="265">
        <v>20000</v>
      </c>
      <c r="F78" s="104">
        <f t="shared" si="53"/>
        <v>20000</v>
      </c>
      <c r="G78" s="21">
        <v>17350</v>
      </c>
      <c r="H78" s="89">
        <f t="shared" si="54"/>
        <v>17350</v>
      </c>
      <c r="I78" s="21">
        <v>27500</v>
      </c>
      <c r="J78" s="89">
        <f t="shared" si="54"/>
        <v>27500</v>
      </c>
      <c r="K78" s="21"/>
      <c r="L78" s="89">
        <f t="shared" si="55"/>
        <v>0</v>
      </c>
      <c r="M78" s="21"/>
      <c r="N78" s="89">
        <f t="shared" ref="N78" si="61">ROUND($D78*M78,2)</f>
        <v>0</v>
      </c>
    </row>
    <row r="79" spans="1:14">
      <c r="A79" s="283"/>
      <c r="B79" s="4"/>
      <c r="C79" s="264"/>
      <c r="D79" s="74"/>
      <c r="E79" s="265"/>
      <c r="F79" s="104"/>
      <c r="G79" s="21"/>
      <c r="H79" s="89"/>
      <c r="I79" s="21"/>
      <c r="J79" s="89"/>
      <c r="K79" s="21"/>
      <c r="L79" s="89"/>
      <c r="M79" s="21"/>
      <c r="N79" s="89"/>
    </row>
    <row r="80" spans="1:14">
      <c r="A80" s="283"/>
      <c r="B80" s="263" t="s">
        <v>197</v>
      </c>
      <c r="C80" s="264"/>
      <c r="D80" s="74"/>
      <c r="E80" s="265"/>
      <c r="F80" s="104"/>
      <c r="G80" s="21"/>
      <c r="H80" s="89"/>
      <c r="I80" s="21"/>
      <c r="J80" s="89"/>
      <c r="K80" s="21"/>
      <c r="L80" s="89"/>
      <c r="M80" s="21"/>
      <c r="N80" s="89"/>
    </row>
    <row r="81" spans="1:14">
      <c r="A81" s="251" t="s">
        <v>269</v>
      </c>
      <c r="B81" s="4" t="s">
        <v>198</v>
      </c>
      <c r="C81" s="22" t="s">
        <v>211</v>
      </c>
      <c r="D81" s="74">
        <v>500</v>
      </c>
      <c r="E81" s="265">
        <v>7.5</v>
      </c>
      <c r="F81" s="104">
        <f t="shared" si="53"/>
        <v>3750</v>
      </c>
      <c r="G81" s="21">
        <v>3.7</v>
      </c>
      <c r="H81" s="89">
        <f t="shared" si="54"/>
        <v>1850</v>
      </c>
      <c r="I81" s="21">
        <v>2.4500000000000002</v>
      </c>
      <c r="J81" s="89">
        <f t="shared" si="54"/>
        <v>1225</v>
      </c>
      <c r="K81" s="21"/>
      <c r="L81" s="89">
        <f t="shared" si="55"/>
        <v>0</v>
      </c>
      <c r="M81" s="21"/>
      <c r="N81" s="89">
        <f t="shared" ref="N81" si="62">ROUND($D81*M81,2)</f>
        <v>0</v>
      </c>
    </row>
    <row r="82" spans="1:14">
      <c r="A82" s="251" t="s">
        <v>270</v>
      </c>
      <c r="B82" s="4" t="s">
        <v>199</v>
      </c>
      <c r="C82" s="22" t="s">
        <v>212</v>
      </c>
      <c r="D82" s="74">
        <v>17</v>
      </c>
      <c r="E82" s="265">
        <v>225</v>
      </c>
      <c r="F82" s="104">
        <f t="shared" si="53"/>
        <v>3825</v>
      </c>
      <c r="G82" s="21">
        <v>210</v>
      </c>
      <c r="H82" s="89">
        <f t="shared" si="54"/>
        <v>3570</v>
      </c>
      <c r="I82" s="21">
        <v>190</v>
      </c>
      <c r="J82" s="89">
        <f t="shared" si="54"/>
        <v>3230</v>
      </c>
      <c r="K82" s="21"/>
      <c r="L82" s="89">
        <f t="shared" si="55"/>
        <v>0</v>
      </c>
      <c r="M82" s="21"/>
      <c r="N82" s="89">
        <f t="shared" ref="N82" si="63">ROUND($D82*M82,2)</f>
        <v>0</v>
      </c>
    </row>
    <row r="83" spans="1:14">
      <c r="A83" s="251" t="s">
        <v>271</v>
      </c>
      <c r="B83" s="4" t="s">
        <v>200</v>
      </c>
      <c r="C83" s="22" t="s">
        <v>212</v>
      </c>
      <c r="D83" s="74">
        <v>17</v>
      </c>
      <c r="E83" s="265">
        <v>50</v>
      </c>
      <c r="F83" s="104">
        <f t="shared" si="53"/>
        <v>850</v>
      </c>
      <c r="G83" s="21">
        <v>52.5</v>
      </c>
      <c r="H83" s="89">
        <f t="shared" si="54"/>
        <v>892.5</v>
      </c>
      <c r="I83" s="21">
        <v>45</v>
      </c>
      <c r="J83" s="89">
        <f t="shared" si="54"/>
        <v>765</v>
      </c>
      <c r="K83" s="21"/>
      <c r="L83" s="89">
        <f t="shared" si="55"/>
        <v>0</v>
      </c>
      <c r="M83" s="21"/>
      <c r="N83" s="89">
        <f t="shared" ref="N83" si="64">ROUND($D83*M83,2)</f>
        <v>0</v>
      </c>
    </row>
    <row r="84" spans="1:14">
      <c r="A84" s="251" t="s">
        <v>272</v>
      </c>
      <c r="B84" s="4" t="s">
        <v>201</v>
      </c>
      <c r="C84" s="22" t="s">
        <v>214</v>
      </c>
      <c r="D84" s="74">
        <v>60</v>
      </c>
      <c r="E84" s="265">
        <v>200</v>
      </c>
      <c r="F84" s="104">
        <f t="shared" si="53"/>
        <v>12000</v>
      </c>
      <c r="G84" s="21">
        <v>70.349999999999994</v>
      </c>
      <c r="H84" s="89">
        <f t="shared" si="54"/>
        <v>4221</v>
      </c>
      <c r="I84" s="21">
        <v>66</v>
      </c>
      <c r="J84" s="89">
        <f t="shared" si="54"/>
        <v>3960</v>
      </c>
      <c r="K84" s="21"/>
      <c r="L84" s="89">
        <f t="shared" si="55"/>
        <v>0</v>
      </c>
      <c r="M84" s="21"/>
      <c r="N84" s="89">
        <f t="shared" ref="N84" si="65">ROUND($D84*M84,2)</f>
        <v>0</v>
      </c>
    </row>
    <row r="85" spans="1:14">
      <c r="A85" s="283"/>
      <c r="B85" s="4"/>
      <c r="C85" s="264"/>
      <c r="D85" s="74"/>
      <c r="E85" s="265"/>
      <c r="F85" s="104"/>
      <c r="G85" s="21"/>
      <c r="H85" s="89"/>
      <c r="I85" s="21"/>
      <c r="J85" s="89"/>
      <c r="K85" s="21"/>
      <c r="L85" s="89"/>
      <c r="M85" s="21"/>
      <c r="N85" s="89"/>
    </row>
    <row r="86" spans="1:14">
      <c r="A86" s="283"/>
      <c r="B86" s="263" t="s">
        <v>202</v>
      </c>
      <c r="C86" s="264"/>
      <c r="D86" s="74"/>
      <c r="E86" s="265"/>
      <c r="F86" s="104"/>
      <c r="G86" s="21"/>
      <c r="H86" s="89"/>
      <c r="I86" s="21"/>
      <c r="J86" s="89"/>
      <c r="K86" s="21"/>
      <c r="L86" s="89"/>
      <c r="M86" s="21"/>
      <c r="N86" s="89"/>
    </row>
    <row r="87" spans="1:14">
      <c r="A87" s="283"/>
      <c r="B87" s="4" t="s">
        <v>133</v>
      </c>
      <c r="C87" s="264"/>
      <c r="D87" s="74"/>
      <c r="E87" s="265"/>
      <c r="F87" s="104"/>
      <c r="G87" s="21"/>
      <c r="H87" s="89"/>
      <c r="I87" s="21"/>
      <c r="J87" s="89"/>
      <c r="K87" s="21"/>
      <c r="L87" s="89"/>
      <c r="M87" s="21"/>
      <c r="N87" s="89"/>
    </row>
    <row r="88" spans="1:14">
      <c r="A88" s="283"/>
      <c r="B88" s="4"/>
      <c r="C88" s="264"/>
      <c r="D88" s="74"/>
      <c r="E88" s="265"/>
      <c r="F88" s="104"/>
      <c r="G88" s="21"/>
      <c r="H88" s="89"/>
      <c r="I88" s="21"/>
      <c r="J88" s="89"/>
      <c r="K88" s="21"/>
      <c r="L88" s="89"/>
      <c r="M88" s="21"/>
      <c r="N88" s="89"/>
    </row>
    <row r="89" spans="1:14">
      <c r="A89" s="283"/>
      <c r="B89" s="263" t="s">
        <v>203</v>
      </c>
      <c r="C89" s="264"/>
      <c r="D89" s="74"/>
      <c r="E89" s="265"/>
      <c r="F89" s="104"/>
      <c r="G89" s="21"/>
      <c r="H89" s="89"/>
      <c r="I89" s="21"/>
      <c r="J89" s="89"/>
      <c r="K89" s="21"/>
      <c r="L89" s="89"/>
      <c r="M89" s="21"/>
      <c r="N89" s="89"/>
    </row>
    <row r="90" spans="1:14">
      <c r="A90" s="251" t="s">
        <v>273</v>
      </c>
      <c r="B90" s="4" t="s">
        <v>204</v>
      </c>
      <c r="C90" s="264" t="s">
        <v>215</v>
      </c>
      <c r="D90" s="74">
        <v>1</v>
      </c>
      <c r="E90" s="265">
        <v>18000</v>
      </c>
      <c r="F90" s="104">
        <f t="shared" si="53"/>
        <v>18000</v>
      </c>
      <c r="G90" s="21">
        <v>16065</v>
      </c>
      <c r="H90" s="89">
        <f t="shared" si="54"/>
        <v>16065</v>
      </c>
      <c r="I90" s="21">
        <v>8925</v>
      </c>
      <c r="J90" s="89">
        <f t="shared" si="54"/>
        <v>8925</v>
      </c>
      <c r="K90" s="21"/>
      <c r="L90" s="89">
        <f t="shared" si="55"/>
        <v>0</v>
      </c>
      <c r="M90" s="21"/>
      <c r="N90" s="89">
        <f t="shared" ref="N90" si="66">ROUND($D90*M90,2)</f>
        <v>0</v>
      </c>
    </row>
    <row r="91" spans="1:14">
      <c r="A91" s="251" t="s">
        <v>274</v>
      </c>
      <c r="B91" s="4" t="s">
        <v>205</v>
      </c>
      <c r="C91" s="264" t="s">
        <v>212</v>
      </c>
      <c r="D91" s="74">
        <v>13</v>
      </c>
      <c r="E91" s="265">
        <v>350</v>
      </c>
      <c r="F91" s="104">
        <f t="shared" si="53"/>
        <v>4550</v>
      </c>
      <c r="G91" s="21">
        <v>275</v>
      </c>
      <c r="H91" s="89">
        <f t="shared" si="54"/>
        <v>3575</v>
      </c>
      <c r="I91" s="21">
        <v>4725</v>
      </c>
      <c r="J91" s="89">
        <f t="shared" si="54"/>
        <v>61425</v>
      </c>
      <c r="K91" s="21"/>
      <c r="L91" s="89">
        <f t="shared" si="55"/>
        <v>0</v>
      </c>
      <c r="M91" s="21"/>
      <c r="N91" s="89">
        <f t="shared" ref="N91" si="67">ROUND($D91*M91,2)</f>
        <v>0</v>
      </c>
    </row>
    <row r="92" spans="1:14">
      <c r="A92" s="251" t="s">
        <v>275</v>
      </c>
      <c r="B92" s="4" t="s">
        <v>206</v>
      </c>
      <c r="C92" s="264" t="s">
        <v>215</v>
      </c>
      <c r="D92" s="74">
        <v>1</v>
      </c>
      <c r="E92" s="265">
        <v>4000</v>
      </c>
      <c r="F92" s="104">
        <f t="shared" si="53"/>
        <v>4000</v>
      </c>
      <c r="G92" s="21">
        <v>2310</v>
      </c>
      <c r="H92" s="89">
        <f t="shared" si="54"/>
        <v>2310</v>
      </c>
      <c r="I92" s="21">
        <v>4725</v>
      </c>
      <c r="J92" s="89">
        <f t="shared" si="54"/>
        <v>4725</v>
      </c>
      <c r="K92" s="21"/>
      <c r="L92" s="89">
        <f t="shared" si="55"/>
        <v>0</v>
      </c>
      <c r="M92" s="21"/>
      <c r="N92" s="89">
        <f t="shared" ref="N92" si="68">ROUND($D92*M92,2)</f>
        <v>0</v>
      </c>
    </row>
    <row r="93" spans="1:14">
      <c r="A93" s="251" t="s">
        <v>276</v>
      </c>
      <c r="B93" s="4" t="s">
        <v>207</v>
      </c>
      <c r="C93" s="264" t="s">
        <v>215</v>
      </c>
      <c r="D93" s="74">
        <v>1</v>
      </c>
      <c r="E93" s="265">
        <v>50000</v>
      </c>
      <c r="F93" s="104">
        <f t="shared" si="53"/>
        <v>50000</v>
      </c>
      <c r="G93" s="21">
        <v>35000</v>
      </c>
      <c r="H93" s="89">
        <f t="shared" si="54"/>
        <v>35000</v>
      </c>
      <c r="I93" s="21">
        <v>75000</v>
      </c>
      <c r="J93" s="89">
        <f t="shared" si="54"/>
        <v>75000</v>
      </c>
      <c r="K93" s="21"/>
      <c r="L93" s="89">
        <f t="shared" si="55"/>
        <v>0</v>
      </c>
      <c r="M93" s="21"/>
      <c r="N93" s="89">
        <f t="shared" ref="N93" si="69">ROUND($D93*M93,2)</f>
        <v>0</v>
      </c>
    </row>
    <row r="94" spans="1:14">
      <c r="A94" s="251" t="s">
        <v>277</v>
      </c>
      <c r="B94" s="4" t="s">
        <v>208</v>
      </c>
      <c r="C94" s="22" t="s">
        <v>215</v>
      </c>
      <c r="D94" s="74">
        <v>1</v>
      </c>
      <c r="E94" s="265">
        <v>6000</v>
      </c>
      <c r="F94" s="104">
        <f t="shared" si="53"/>
        <v>6000</v>
      </c>
      <c r="G94" s="21">
        <v>3900</v>
      </c>
      <c r="H94" s="89">
        <f t="shared" si="54"/>
        <v>3900</v>
      </c>
      <c r="I94" s="21">
        <v>2250</v>
      </c>
      <c r="J94" s="89">
        <f t="shared" si="54"/>
        <v>2250</v>
      </c>
      <c r="K94" s="21"/>
      <c r="L94" s="89">
        <f t="shared" si="55"/>
        <v>0</v>
      </c>
      <c r="M94" s="21"/>
      <c r="N94" s="89">
        <f t="shared" ref="N94" si="70">ROUND($D94*M94,2)</f>
        <v>0</v>
      </c>
    </row>
    <row r="95" spans="1:14" ht="13.5" thickBot="1">
      <c r="A95" s="252"/>
      <c r="B95" s="96"/>
      <c r="C95" s="95"/>
      <c r="D95" s="97"/>
      <c r="E95" s="100"/>
      <c r="F95" s="101"/>
      <c r="G95" s="96"/>
      <c r="H95" s="98"/>
      <c r="I95" s="96"/>
      <c r="J95" s="98"/>
      <c r="K95" s="96"/>
      <c r="L95" s="98"/>
      <c r="M95" s="96"/>
      <c r="N95" s="98"/>
    </row>
    <row r="96" spans="1:14" ht="13.5" thickTop="1">
      <c r="A96" s="250"/>
      <c r="B96" s="91" t="s">
        <v>65</v>
      </c>
      <c r="C96" s="90"/>
      <c r="D96" s="92"/>
      <c r="E96" s="102"/>
      <c r="F96" s="103">
        <f>SUM(F6:F95)</f>
        <v>2260184.5</v>
      </c>
      <c r="G96" s="94"/>
      <c r="H96" s="93">
        <f>SUM(H6:H95)</f>
        <v>1828001.36</v>
      </c>
      <c r="I96" s="94"/>
      <c r="J96" s="93">
        <f>SUM(J6:J95)</f>
        <v>1936657.3499999999</v>
      </c>
      <c r="K96" s="94"/>
      <c r="L96" s="93">
        <f>SUM(L6:L95)</f>
        <v>0</v>
      </c>
      <c r="M96" s="94"/>
      <c r="N96" s="105">
        <f>SUM(N6:N95)</f>
        <v>0</v>
      </c>
    </row>
    <row r="98" spans="1:8">
      <c r="A98" s="253" t="str">
        <f>UPPER("*Hide all unused rows; Do not delete them!")</f>
        <v>*HIDE ALL UNUSED ROWS; DO NOT DELETE THEM!</v>
      </c>
      <c r="F98" s="267"/>
    </row>
    <row r="100" spans="1:8" s="136" customFormat="1">
      <c r="A100" s="253" t="s">
        <v>116</v>
      </c>
      <c r="E100" s="111" t="s">
        <v>117</v>
      </c>
    </row>
    <row r="101" spans="1:8" ht="13.5" thickBot="1">
      <c r="A101" s="249" t="s">
        <v>49</v>
      </c>
      <c r="B101" s="115" t="s">
        <v>25</v>
      </c>
      <c r="C101" s="196" t="s">
        <v>6</v>
      </c>
      <c r="D101" s="196" t="s">
        <v>7</v>
      </c>
      <c r="E101" s="198" t="s">
        <v>126</v>
      </c>
      <c r="F101" s="133" t="s">
        <v>9</v>
      </c>
      <c r="G101" s="114" t="s">
        <v>126</v>
      </c>
      <c r="H101" s="117" t="s">
        <v>9</v>
      </c>
    </row>
    <row r="102" spans="1:8" ht="13.5" thickTop="1">
      <c r="A102" s="250" t="s">
        <v>291</v>
      </c>
      <c r="B102" s="25" t="s">
        <v>293</v>
      </c>
      <c r="C102" s="90" t="s">
        <v>292</v>
      </c>
      <c r="D102" s="25">
        <v>1</v>
      </c>
      <c r="E102" s="134"/>
      <c r="F102" s="134"/>
      <c r="G102" s="25">
        <v>2100</v>
      </c>
      <c r="H102" s="89">
        <f t="shared" ref="H102:H121" si="71">ROUND($D102*G102,2)</f>
        <v>2100</v>
      </c>
    </row>
    <row r="103" spans="1:8">
      <c r="A103" s="251" t="s">
        <v>297</v>
      </c>
      <c r="B103" s="355" t="s">
        <v>298</v>
      </c>
      <c r="C103" s="22" t="s">
        <v>299</v>
      </c>
      <c r="D103" s="21">
        <v>1</v>
      </c>
      <c r="E103" s="135"/>
      <c r="F103" s="135"/>
      <c r="G103" s="21">
        <v>3300</v>
      </c>
      <c r="H103" s="89">
        <f t="shared" si="71"/>
        <v>3300</v>
      </c>
    </row>
    <row r="104" spans="1:8">
      <c r="A104" s="251" t="s">
        <v>309</v>
      </c>
      <c r="B104" s="21" t="s">
        <v>310</v>
      </c>
      <c r="C104" s="22" t="s">
        <v>299</v>
      </c>
      <c r="D104" s="21">
        <v>1</v>
      </c>
      <c r="E104" s="135"/>
      <c r="F104" s="135"/>
      <c r="G104" s="21">
        <v>29800</v>
      </c>
      <c r="H104" s="89">
        <f t="shared" si="71"/>
        <v>29800</v>
      </c>
    </row>
    <row r="105" spans="1:8">
      <c r="A105" s="251"/>
      <c r="B105" s="21"/>
      <c r="C105" s="22"/>
      <c r="D105" s="21"/>
      <c r="E105" s="135"/>
      <c r="F105" s="135"/>
      <c r="G105" s="21"/>
      <c r="H105" s="89">
        <f t="shared" si="71"/>
        <v>0</v>
      </c>
    </row>
    <row r="106" spans="1:8">
      <c r="A106" s="251"/>
      <c r="B106" s="21"/>
      <c r="C106" s="22"/>
      <c r="D106" s="21"/>
      <c r="E106" s="135"/>
      <c r="F106" s="135"/>
      <c r="G106" s="21"/>
      <c r="H106" s="89">
        <f t="shared" si="71"/>
        <v>0</v>
      </c>
    </row>
    <row r="107" spans="1:8">
      <c r="A107" s="251"/>
      <c r="B107" s="21"/>
      <c r="C107" s="22"/>
      <c r="D107" s="21"/>
      <c r="E107" s="135"/>
      <c r="F107" s="135"/>
      <c r="G107" s="21"/>
      <c r="H107" s="89">
        <f t="shared" si="71"/>
        <v>0</v>
      </c>
    </row>
    <row r="108" spans="1:8">
      <c r="A108" s="251"/>
      <c r="B108" s="21"/>
      <c r="C108" s="22"/>
      <c r="D108" s="21"/>
      <c r="E108" s="135"/>
      <c r="F108" s="135"/>
      <c r="G108" s="21"/>
      <c r="H108" s="89">
        <f t="shared" si="71"/>
        <v>0</v>
      </c>
    </row>
    <row r="109" spans="1:8">
      <c r="A109" s="251"/>
      <c r="B109" s="21"/>
      <c r="C109" s="22"/>
      <c r="D109" s="21"/>
      <c r="E109" s="135"/>
      <c r="F109" s="135"/>
      <c r="G109" s="21"/>
      <c r="H109" s="89">
        <f t="shared" si="71"/>
        <v>0</v>
      </c>
    </row>
    <row r="110" spans="1:8">
      <c r="A110" s="251"/>
      <c r="B110" s="21"/>
      <c r="C110" s="22"/>
      <c r="D110" s="21"/>
      <c r="E110" s="135"/>
      <c r="F110" s="135"/>
      <c r="G110" s="21"/>
      <c r="H110" s="89">
        <f t="shared" si="71"/>
        <v>0</v>
      </c>
    </row>
    <row r="111" spans="1:8">
      <c r="A111" s="251"/>
      <c r="B111" s="21"/>
      <c r="C111" s="22"/>
      <c r="D111" s="21"/>
      <c r="E111" s="135"/>
      <c r="F111" s="135"/>
      <c r="G111" s="21"/>
      <c r="H111" s="89">
        <f t="shared" si="71"/>
        <v>0</v>
      </c>
    </row>
    <row r="112" spans="1:8">
      <c r="A112" s="251"/>
      <c r="B112" s="21"/>
      <c r="C112" s="22"/>
      <c r="D112" s="21"/>
      <c r="E112" s="135"/>
      <c r="F112" s="135"/>
      <c r="G112" s="21"/>
      <c r="H112" s="89">
        <f t="shared" si="71"/>
        <v>0</v>
      </c>
    </row>
    <row r="113" spans="1:8">
      <c r="A113" s="251"/>
      <c r="B113" s="21"/>
      <c r="C113" s="22"/>
      <c r="D113" s="21"/>
      <c r="E113" s="135"/>
      <c r="F113" s="135"/>
      <c r="G113" s="21"/>
      <c r="H113" s="89">
        <f t="shared" si="71"/>
        <v>0</v>
      </c>
    </row>
    <row r="114" spans="1:8">
      <c r="A114" s="251"/>
      <c r="B114" s="21"/>
      <c r="C114" s="22"/>
      <c r="D114" s="21"/>
      <c r="E114" s="135"/>
      <c r="F114" s="135"/>
      <c r="G114" s="21"/>
      <c r="H114" s="89">
        <f t="shared" si="71"/>
        <v>0</v>
      </c>
    </row>
    <row r="115" spans="1:8">
      <c r="A115" s="251"/>
      <c r="B115" s="21"/>
      <c r="C115" s="22"/>
      <c r="D115" s="21"/>
      <c r="E115" s="135"/>
      <c r="F115" s="135"/>
      <c r="G115" s="21"/>
      <c r="H115" s="89">
        <f t="shared" si="71"/>
        <v>0</v>
      </c>
    </row>
    <row r="116" spans="1:8">
      <c r="A116" s="251"/>
      <c r="B116" s="21"/>
      <c r="C116" s="22"/>
      <c r="D116" s="21"/>
      <c r="E116" s="135"/>
      <c r="F116" s="135"/>
      <c r="G116" s="21"/>
      <c r="H116" s="89">
        <f t="shared" si="71"/>
        <v>0</v>
      </c>
    </row>
    <row r="117" spans="1:8">
      <c r="A117" s="251"/>
      <c r="B117" s="21"/>
      <c r="C117" s="22"/>
      <c r="D117" s="21"/>
      <c r="E117" s="135"/>
      <c r="F117" s="135"/>
      <c r="G117" s="21"/>
      <c r="H117" s="89">
        <f t="shared" si="71"/>
        <v>0</v>
      </c>
    </row>
    <row r="118" spans="1:8">
      <c r="A118" s="251"/>
      <c r="B118" s="21"/>
      <c r="C118" s="22"/>
      <c r="D118" s="21"/>
      <c r="E118" s="135"/>
      <c r="F118" s="135"/>
      <c r="G118" s="21"/>
      <c r="H118" s="89">
        <f t="shared" si="71"/>
        <v>0</v>
      </c>
    </row>
    <row r="119" spans="1:8">
      <c r="A119" s="251"/>
      <c r="B119" s="21"/>
      <c r="C119" s="22"/>
      <c r="D119" s="21"/>
      <c r="E119" s="135"/>
      <c r="F119" s="135"/>
      <c r="G119" s="21"/>
      <c r="H119" s="89">
        <f t="shared" si="71"/>
        <v>0</v>
      </c>
    </row>
    <row r="120" spans="1:8">
      <c r="A120" s="251"/>
      <c r="B120" s="21"/>
      <c r="C120" s="22"/>
      <c r="D120" s="21"/>
      <c r="E120" s="135"/>
      <c r="F120" s="135"/>
      <c r="G120" s="21"/>
      <c r="H120" s="89">
        <f t="shared" si="71"/>
        <v>0</v>
      </c>
    </row>
    <row r="121" spans="1:8">
      <c r="A121" s="251"/>
      <c r="B121" s="21"/>
      <c r="C121" s="22"/>
      <c r="D121" s="21"/>
      <c r="E121" s="135"/>
      <c r="F121" s="135"/>
      <c r="G121" s="21"/>
      <c r="H121" s="89">
        <f t="shared" si="71"/>
        <v>0</v>
      </c>
    </row>
  </sheetData>
  <phoneticPr fontId="2" type="noConversion"/>
  <pageMargins left="0.25" right="0.25" top="0.25" bottom="0.25" header="0.15" footer="0.15"/>
  <pageSetup scale="84" fitToHeight="0" orientation="landscape" r:id="rId1"/>
  <headerFooter alignWithMargins="0">
    <oddFooter>&amp;LCC: Project Engineer, PW Mgmt. Asst., Finance, Contractor&amp;R&amp;D | 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 fitToPage="1"/>
  </sheetPr>
  <dimension ref="A1:M60"/>
  <sheetViews>
    <sheetView showZeros="0" showOutlineSymbols="0" zoomScaleNormal="100" zoomScaleSheetLayoutView="100" workbookViewId="0">
      <selection activeCell="Q9" sqref="Q9"/>
    </sheetView>
  </sheetViews>
  <sheetFormatPr defaultColWidth="9.140625" defaultRowHeight="12.75"/>
  <cols>
    <col min="1" max="1" width="4.7109375" style="23" customWidth="1"/>
    <col min="2" max="2" width="5.7109375" style="23" customWidth="1"/>
    <col min="3" max="3" width="39.85546875" style="23" customWidth="1"/>
    <col min="4" max="4" width="4.7109375" style="23" customWidth="1"/>
    <col min="5" max="5" width="3" style="23" customWidth="1"/>
    <col min="6" max="6" width="12.7109375" style="23" customWidth="1"/>
    <col min="7" max="7" width="3" style="23" customWidth="1"/>
    <col min="8" max="8" width="12.7109375" style="23" customWidth="1"/>
    <col min="9" max="9" width="17.7109375" style="23" customWidth="1"/>
    <col min="10" max="10" width="3.7109375" style="23" customWidth="1"/>
    <col min="11" max="11" width="9.140625" style="23"/>
    <col min="12" max="12" width="11.28515625" style="23" customWidth="1"/>
    <col min="13" max="13" width="21.5703125" style="23" customWidth="1"/>
    <col min="14" max="17" width="9.140625" style="23"/>
    <col min="18" max="23" width="9.140625" style="23" customWidth="1"/>
    <col min="24" max="16384" width="9.140625" style="23"/>
  </cols>
  <sheetData>
    <row r="1" spans="2:13">
      <c r="C1" s="1"/>
      <c r="D1" s="1"/>
      <c r="E1" s="1"/>
      <c r="F1" s="1"/>
      <c r="G1" s="1"/>
      <c r="H1" s="20" t="s">
        <v>46</v>
      </c>
      <c r="I1" s="34"/>
      <c r="J1" s="2"/>
    </row>
    <row r="3" spans="2:13">
      <c r="E3" s="28" t="s">
        <v>86</v>
      </c>
      <c r="F3" s="22">
        <f>COUNT(F10:F19,H10:H19)+1</f>
        <v>1</v>
      </c>
      <c r="G3" s="24"/>
      <c r="H3" s="3" t="s">
        <v>12</v>
      </c>
      <c r="I3" s="35">
        <f>Purchase_Order</f>
        <v>62893</v>
      </c>
    </row>
    <row r="4" spans="2:13">
      <c r="C4" s="28"/>
      <c r="D4" s="28"/>
      <c r="E4" s="28"/>
      <c r="F4" s="24"/>
      <c r="G4" s="24"/>
      <c r="H4" s="3" t="s">
        <v>13</v>
      </c>
      <c r="I4" s="21" t="str">
        <f>IF('PROJECT INFO'!B26&gt;1,"VARIOUS",Account_Number0)</f>
        <v>VARIOUS</v>
      </c>
    </row>
    <row r="5" spans="2:13">
      <c r="C5" s="28"/>
      <c r="D5" s="28"/>
      <c r="E5" s="28"/>
      <c r="F5" s="24"/>
      <c r="G5" s="24"/>
      <c r="H5" s="3"/>
    </row>
    <row r="6" spans="2:13" ht="12" customHeight="1">
      <c r="B6" s="374"/>
      <c r="C6" s="375"/>
      <c r="D6" s="375"/>
      <c r="E6" s="375"/>
      <c r="F6" s="375"/>
      <c r="G6" s="375"/>
      <c r="H6" s="375"/>
      <c r="I6" s="376"/>
      <c r="J6" s="29"/>
    </row>
    <row r="7" spans="2:13" ht="15.75">
      <c r="B7" s="377" t="str">
        <f>CONCATENATE(Fiscal_Year," ",Program," (",Location,")")</f>
        <v>2023/24 Seal Coat Street Pavement Improvements (E 16th St; Glendale Ave)</v>
      </c>
      <c r="C7" s="378"/>
      <c r="D7" s="378"/>
      <c r="E7" s="378"/>
      <c r="F7" s="378"/>
      <c r="G7" s="378"/>
      <c r="H7" s="378"/>
      <c r="I7" s="379"/>
      <c r="J7" s="5"/>
    </row>
    <row r="8" spans="2:13">
      <c r="L8" s="61" t="s">
        <v>77</v>
      </c>
      <c r="M8" s="60"/>
    </row>
    <row r="9" spans="2:13">
      <c r="B9" s="23" t="s">
        <v>14</v>
      </c>
      <c r="E9" s="23" t="s">
        <v>15</v>
      </c>
      <c r="I9" s="36"/>
      <c r="L9" s="62" t="s">
        <v>76</v>
      </c>
      <c r="M9" s="24" t="s">
        <v>84</v>
      </c>
    </row>
    <row r="10" spans="2:13" ht="12.95" customHeight="1">
      <c r="B10" s="380"/>
      <c r="C10" s="381"/>
      <c r="E10" s="37">
        <v>1</v>
      </c>
      <c r="F10" s="38"/>
      <c r="G10" s="31">
        <v>11</v>
      </c>
      <c r="H10" s="38"/>
      <c r="I10" s="6" t="s">
        <v>78</v>
      </c>
      <c r="J10" s="7"/>
      <c r="L10" s="67"/>
      <c r="M10" s="64"/>
    </row>
    <row r="11" spans="2:13" ht="12.95" customHeight="1">
      <c r="B11" s="363" t="str">
        <f>Contractor_Name</f>
        <v>Manatt's Inc</v>
      </c>
      <c r="C11" s="364"/>
      <c r="E11" s="29">
        <v>2</v>
      </c>
      <c r="F11" s="38"/>
      <c r="G11" s="23">
        <v>12</v>
      </c>
      <c r="H11" s="38"/>
      <c r="I11" s="8" t="s">
        <v>16</v>
      </c>
      <c r="J11" s="7"/>
      <c r="L11" s="68"/>
      <c r="M11" s="65"/>
    </row>
    <row r="12" spans="2:13" ht="12.95" customHeight="1">
      <c r="B12" s="365" t="s">
        <v>17</v>
      </c>
      <c r="C12" s="366"/>
      <c r="E12" s="29">
        <v>3</v>
      </c>
      <c r="F12" s="38"/>
      <c r="G12" s="23">
        <v>13</v>
      </c>
      <c r="H12" s="38"/>
      <c r="I12" s="63">
        <f>SUM(F10:F19,H10:H19)</f>
        <v>0</v>
      </c>
      <c r="J12" s="9"/>
      <c r="L12" s="68"/>
      <c r="M12" s="65"/>
    </row>
    <row r="13" spans="2:13" ht="12.95" customHeight="1">
      <c r="B13" s="363" t="str">
        <f>Contractor_Address1</f>
        <v>2120 E 13th Street</v>
      </c>
      <c r="C13" s="364"/>
      <c r="E13" s="29">
        <v>4</v>
      </c>
      <c r="F13" s="38"/>
      <c r="G13" s="23">
        <v>14</v>
      </c>
      <c r="H13" s="38"/>
      <c r="I13" s="8" t="s">
        <v>18</v>
      </c>
      <c r="J13" s="7"/>
      <c r="L13" s="68"/>
      <c r="M13" s="65"/>
    </row>
    <row r="14" spans="2:13" ht="12.95" customHeight="1">
      <c r="B14" s="365" t="s">
        <v>19</v>
      </c>
      <c r="C14" s="366"/>
      <c r="E14" s="29">
        <v>5</v>
      </c>
      <c r="F14" s="38"/>
      <c r="G14" s="23">
        <v>15</v>
      </c>
      <c r="H14" s="38"/>
      <c r="I14" s="63">
        <f>Award_Amount</f>
        <v>1828001.36</v>
      </c>
      <c r="J14" s="10"/>
      <c r="L14" s="29"/>
      <c r="M14" s="65"/>
    </row>
    <row r="15" spans="2:13" ht="12.95" customHeight="1">
      <c r="B15" s="363" t="str">
        <f>Contractor_Address2</f>
        <v>Ames, IA 50010</v>
      </c>
      <c r="C15" s="364"/>
      <c r="E15" s="29">
        <v>6</v>
      </c>
      <c r="F15" s="38"/>
      <c r="G15" s="23">
        <v>16</v>
      </c>
      <c r="H15" s="38"/>
      <c r="I15" s="30" t="s">
        <v>21</v>
      </c>
      <c r="J15" s="11"/>
      <c r="L15" s="29"/>
      <c r="M15" s="65"/>
    </row>
    <row r="16" spans="2:13" ht="12.95" customHeight="1">
      <c r="B16" s="365" t="s">
        <v>20</v>
      </c>
      <c r="C16" s="366"/>
      <c r="E16" s="29">
        <v>7</v>
      </c>
      <c r="F16" s="38"/>
      <c r="G16" s="23">
        <v>17</v>
      </c>
      <c r="H16" s="38"/>
      <c r="I16" s="127">
        <f>I46</f>
        <v>0</v>
      </c>
      <c r="J16" s="12"/>
      <c r="L16" s="29"/>
      <c r="M16" s="65"/>
    </row>
    <row r="17" spans="2:13" ht="12.95" customHeight="1">
      <c r="B17" s="367"/>
      <c r="C17" s="368"/>
      <c r="E17" s="29">
        <v>8</v>
      </c>
      <c r="F17" s="38"/>
      <c r="G17" s="23">
        <v>18</v>
      </c>
      <c r="H17" s="38"/>
      <c r="I17" s="55" t="s">
        <v>82</v>
      </c>
      <c r="J17" s="13"/>
      <c r="L17" s="29"/>
      <c r="M17" s="65"/>
    </row>
    <row r="18" spans="2:13">
      <c r="B18" s="369"/>
      <c r="C18" s="370"/>
      <c r="E18" s="29">
        <v>9</v>
      </c>
      <c r="F18" s="38"/>
      <c r="G18" s="23">
        <v>19</v>
      </c>
      <c r="H18" s="38"/>
      <c r="I18" s="8" t="s">
        <v>83</v>
      </c>
      <c r="J18" s="11"/>
      <c r="L18" s="29"/>
      <c r="M18" s="65"/>
    </row>
    <row r="19" spans="2:13">
      <c r="B19" s="39"/>
      <c r="C19" s="39"/>
      <c r="E19" s="29">
        <v>10</v>
      </c>
      <c r="F19" s="38"/>
      <c r="G19" s="23">
        <v>20</v>
      </c>
      <c r="H19" s="40"/>
      <c r="I19" s="63">
        <f>F20+H20+ABS(I46)-M22</f>
        <v>0</v>
      </c>
      <c r="J19" s="11"/>
      <c r="L19" s="29"/>
      <c r="M19" s="65"/>
    </row>
    <row r="20" spans="2:13" ht="13.5" thickBot="1">
      <c r="C20" s="59" t="str">
        <f>IF(((I12+I16)/I14)&lt;0.2,IF(I19&lt;50000,IF(I19&lt;25000,"Staff Approval","Requires City Manager Approval"),"Requires City Council Approval"),"Requires City Council Approval")</f>
        <v>Staff Approval</v>
      </c>
      <c r="E20" s="29"/>
      <c r="F20" s="56">
        <f t="array" ref="F20">SUM(ABS(F10:F19))</f>
        <v>0</v>
      </c>
      <c r="G20" s="57"/>
      <c r="H20" s="58">
        <f t="array" ref="H20">SUM(ABS(H10:H19))</f>
        <v>0</v>
      </c>
      <c r="I20" s="8" t="s">
        <v>22</v>
      </c>
      <c r="J20" s="7"/>
      <c r="L20" s="29"/>
      <c r="M20" s="65"/>
    </row>
    <row r="21" spans="2:13" ht="14.25" thickTop="1" thickBot="1">
      <c r="E21" s="41"/>
      <c r="F21" s="42"/>
      <c r="G21" s="36"/>
      <c r="H21" s="42"/>
      <c r="I21" s="128">
        <f>I16+I14+I12</f>
        <v>1828001.36</v>
      </c>
      <c r="J21" s="43"/>
      <c r="L21" s="41"/>
      <c r="M21" s="66"/>
    </row>
    <row r="22" spans="2:13" ht="13.5" thickTop="1">
      <c r="B22" s="44" t="s">
        <v>23</v>
      </c>
      <c r="L22" s="69">
        <f>MAX(L10:L21)</f>
        <v>0</v>
      </c>
      <c r="M22" s="70">
        <f>IF(ISERROR(VLOOKUP(L22,L10:M21,2,FALSE)),0,VLOOKUP(L22,L10:M21,2,FALSE))</f>
        <v>0</v>
      </c>
    </row>
    <row r="23" spans="2:13" ht="13.5" thickBot="1">
      <c r="B23" s="45" t="s">
        <v>24</v>
      </c>
      <c r="C23" s="45" t="s">
        <v>25</v>
      </c>
      <c r="D23" s="129" t="s">
        <v>26</v>
      </c>
      <c r="E23" s="130"/>
      <c r="F23" s="45" t="s">
        <v>8</v>
      </c>
      <c r="G23" s="46"/>
      <c r="H23" s="14" t="s">
        <v>7</v>
      </c>
      <c r="I23" s="14" t="s">
        <v>10</v>
      </c>
      <c r="L23" s="108" t="s">
        <v>113</v>
      </c>
    </row>
    <row r="24" spans="2:13" ht="13.5" thickTop="1">
      <c r="B24" s="90"/>
      <c r="C24" s="25">
        <f t="shared" ref="C24:C45" si="0">IF(ISERROR(VLOOKUP($B24,BIDTAB,2,FALSE)),0,VLOOKUP($B24,BIDTAB,2,FALSE))</f>
        <v>0</v>
      </c>
      <c r="D24" s="131">
        <f t="shared" ref="D24:D45" si="1">IF(ISERROR(VLOOKUP($B24,BIDTAB,3,FALSE)),0,VLOOKUP($B24,BIDTAB,3,FALSE))</f>
        <v>0</v>
      </c>
      <c r="E24" s="132"/>
      <c r="F24" s="236">
        <f t="shared" ref="F24:F45" si="2">IF(ISERROR(VLOOKUP($B24,BIDTAB,7,FALSE)),0,VLOOKUP($B24,BIDTAB,7,FALSE))</f>
        <v>0</v>
      </c>
      <c r="G24" s="47"/>
      <c r="H24" s="48"/>
      <c r="I24" s="234">
        <f>ROUND(F24*H24,2)</f>
        <v>0</v>
      </c>
      <c r="L24" s="23" t="s">
        <v>114</v>
      </c>
    </row>
    <row r="25" spans="2:13">
      <c r="B25" s="22"/>
      <c r="C25" s="25">
        <f t="shared" si="0"/>
        <v>0</v>
      </c>
      <c r="D25" s="131">
        <f t="shared" si="1"/>
        <v>0</v>
      </c>
      <c r="E25" s="132"/>
      <c r="F25" s="236">
        <f t="shared" si="2"/>
        <v>0</v>
      </c>
      <c r="G25" s="49"/>
      <c r="H25" s="48"/>
      <c r="I25" s="234">
        <f t="shared" ref="I25:I45" si="3">ROUND(F25*H25,2)</f>
        <v>0</v>
      </c>
      <c r="L25" s="23" t="s">
        <v>118</v>
      </c>
    </row>
    <row r="26" spans="2:13">
      <c r="B26" s="22"/>
      <c r="C26" s="25">
        <f t="shared" si="0"/>
        <v>0</v>
      </c>
      <c r="D26" s="131">
        <f t="shared" si="1"/>
        <v>0</v>
      </c>
      <c r="E26" s="132"/>
      <c r="F26" s="236">
        <f t="shared" si="2"/>
        <v>0</v>
      </c>
      <c r="G26" s="49"/>
      <c r="H26" s="48"/>
      <c r="I26" s="234">
        <f t="shared" si="3"/>
        <v>0</v>
      </c>
    </row>
    <row r="27" spans="2:13">
      <c r="B27" s="22"/>
      <c r="C27" s="25">
        <f t="shared" si="0"/>
        <v>0</v>
      </c>
      <c r="D27" s="131">
        <f t="shared" si="1"/>
        <v>0</v>
      </c>
      <c r="E27" s="132"/>
      <c r="F27" s="236">
        <f t="shared" si="2"/>
        <v>0</v>
      </c>
      <c r="G27" s="49"/>
      <c r="H27" s="48"/>
      <c r="I27" s="234">
        <f t="shared" si="3"/>
        <v>0</v>
      </c>
    </row>
    <row r="28" spans="2:13">
      <c r="B28" s="22"/>
      <c r="C28" s="25">
        <f t="shared" si="0"/>
        <v>0</v>
      </c>
      <c r="D28" s="131">
        <f t="shared" si="1"/>
        <v>0</v>
      </c>
      <c r="E28" s="132"/>
      <c r="F28" s="236">
        <f t="shared" si="2"/>
        <v>0</v>
      </c>
      <c r="G28" s="49"/>
      <c r="H28" s="48"/>
      <c r="I28" s="234">
        <f t="shared" si="3"/>
        <v>0</v>
      </c>
    </row>
    <row r="29" spans="2:13">
      <c r="B29" s="22"/>
      <c r="C29" s="25">
        <f t="shared" si="0"/>
        <v>0</v>
      </c>
      <c r="D29" s="131">
        <f t="shared" si="1"/>
        <v>0</v>
      </c>
      <c r="E29" s="132"/>
      <c r="F29" s="236">
        <f t="shared" si="2"/>
        <v>0</v>
      </c>
      <c r="G29" s="49"/>
      <c r="H29" s="48"/>
      <c r="I29" s="234">
        <f t="shared" si="3"/>
        <v>0</v>
      </c>
    </row>
    <row r="30" spans="2:13">
      <c r="B30" s="22"/>
      <c r="C30" s="25">
        <f t="shared" si="0"/>
        <v>0</v>
      </c>
      <c r="D30" s="131">
        <f t="shared" si="1"/>
        <v>0</v>
      </c>
      <c r="E30" s="132"/>
      <c r="F30" s="236">
        <f t="shared" si="2"/>
        <v>0</v>
      </c>
      <c r="G30" s="49"/>
      <c r="H30" s="48"/>
      <c r="I30" s="234">
        <f t="shared" si="3"/>
        <v>0</v>
      </c>
    </row>
    <row r="31" spans="2:13">
      <c r="B31" s="22"/>
      <c r="C31" s="25">
        <f t="shared" si="0"/>
        <v>0</v>
      </c>
      <c r="D31" s="131">
        <f t="shared" si="1"/>
        <v>0</v>
      </c>
      <c r="E31" s="132"/>
      <c r="F31" s="236">
        <f t="shared" si="2"/>
        <v>0</v>
      </c>
      <c r="G31" s="49"/>
      <c r="H31" s="48"/>
      <c r="I31" s="234">
        <f t="shared" si="3"/>
        <v>0</v>
      </c>
    </row>
    <row r="32" spans="2:13">
      <c r="B32" s="22"/>
      <c r="C32" s="25">
        <f t="shared" si="0"/>
        <v>0</v>
      </c>
      <c r="D32" s="131">
        <f t="shared" si="1"/>
        <v>0</v>
      </c>
      <c r="E32" s="132"/>
      <c r="F32" s="236">
        <f t="shared" si="2"/>
        <v>0</v>
      </c>
      <c r="G32" s="49"/>
      <c r="H32" s="48"/>
      <c r="I32" s="234">
        <f t="shared" si="3"/>
        <v>0</v>
      </c>
    </row>
    <row r="33" spans="1:13">
      <c r="B33" s="22"/>
      <c r="C33" s="25">
        <f t="shared" si="0"/>
        <v>0</v>
      </c>
      <c r="D33" s="131">
        <f t="shared" si="1"/>
        <v>0</v>
      </c>
      <c r="E33" s="132"/>
      <c r="F33" s="236">
        <f t="shared" si="2"/>
        <v>0</v>
      </c>
      <c r="G33" s="49"/>
      <c r="H33" s="48"/>
      <c r="I33" s="234">
        <f t="shared" si="3"/>
        <v>0</v>
      </c>
    </row>
    <row r="34" spans="1:13">
      <c r="B34" s="22"/>
      <c r="C34" s="25">
        <f t="shared" si="0"/>
        <v>0</v>
      </c>
      <c r="D34" s="131">
        <f t="shared" si="1"/>
        <v>0</v>
      </c>
      <c r="E34" s="132"/>
      <c r="F34" s="236">
        <f t="shared" si="2"/>
        <v>0</v>
      </c>
      <c r="G34" s="49"/>
      <c r="H34" s="48"/>
      <c r="I34" s="234">
        <f t="shared" si="3"/>
        <v>0</v>
      </c>
    </row>
    <row r="35" spans="1:13">
      <c r="B35" s="22"/>
      <c r="C35" s="25">
        <f t="shared" si="0"/>
        <v>0</v>
      </c>
      <c r="D35" s="131">
        <f t="shared" si="1"/>
        <v>0</v>
      </c>
      <c r="E35" s="132"/>
      <c r="F35" s="236">
        <f t="shared" si="2"/>
        <v>0</v>
      </c>
      <c r="G35" s="49"/>
      <c r="H35" s="48"/>
      <c r="I35" s="234">
        <f t="shared" si="3"/>
        <v>0</v>
      </c>
    </row>
    <row r="36" spans="1:13">
      <c r="B36" s="22"/>
      <c r="C36" s="25">
        <f t="shared" si="0"/>
        <v>0</v>
      </c>
      <c r="D36" s="131">
        <f t="shared" si="1"/>
        <v>0</v>
      </c>
      <c r="E36" s="132"/>
      <c r="F36" s="236">
        <f t="shared" si="2"/>
        <v>0</v>
      </c>
      <c r="G36" s="49"/>
      <c r="H36" s="48"/>
      <c r="I36" s="234">
        <f t="shared" si="3"/>
        <v>0</v>
      </c>
    </row>
    <row r="37" spans="1:13">
      <c r="B37" s="22"/>
      <c r="C37" s="25">
        <f t="shared" si="0"/>
        <v>0</v>
      </c>
      <c r="D37" s="131">
        <f t="shared" si="1"/>
        <v>0</v>
      </c>
      <c r="E37" s="132"/>
      <c r="F37" s="236">
        <f t="shared" si="2"/>
        <v>0</v>
      </c>
      <c r="G37" s="49"/>
      <c r="H37" s="48"/>
      <c r="I37" s="234">
        <f t="shared" si="3"/>
        <v>0</v>
      </c>
    </row>
    <row r="38" spans="1:13">
      <c r="B38" s="22"/>
      <c r="C38" s="25">
        <f t="shared" si="0"/>
        <v>0</v>
      </c>
      <c r="D38" s="131">
        <f t="shared" si="1"/>
        <v>0</v>
      </c>
      <c r="E38" s="132"/>
      <c r="F38" s="236">
        <f t="shared" si="2"/>
        <v>0</v>
      </c>
      <c r="G38" s="49"/>
      <c r="H38" s="48"/>
      <c r="I38" s="234">
        <f t="shared" si="3"/>
        <v>0</v>
      </c>
    </row>
    <row r="39" spans="1:13">
      <c r="B39" s="22"/>
      <c r="C39" s="25">
        <f t="shared" si="0"/>
        <v>0</v>
      </c>
      <c r="D39" s="131">
        <f t="shared" si="1"/>
        <v>0</v>
      </c>
      <c r="E39" s="132"/>
      <c r="F39" s="236">
        <f t="shared" si="2"/>
        <v>0</v>
      </c>
      <c r="G39" s="49"/>
      <c r="H39" s="48"/>
      <c r="I39" s="234">
        <f t="shared" si="3"/>
        <v>0</v>
      </c>
    </row>
    <row r="40" spans="1:13">
      <c r="B40" s="22"/>
      <c r="C40" s="25">
        <f t="shared" si="0"/>
        <v>0</v>
      </c>
      <c r="D40" s="131">
        <f t="shared" si="1"/>
        <v>0</v>
      </c>
      <c r="E40" s="132"/>
      <c r="F40" s="236">
        <f t="shared" si="2"/>
        <v>0</v>
      </c>
      <c r="G40" s="49"/>
      <c r="H40" s="48"/>
      <c r="I40" s="234">
        <f t="shared" si="3"/>
        <v>0</v>
      </c>
    </row>
    <row r="41" spans="1:13">
      <c r="B41" s="22"/>
      <c r="C41" s="25">
        <f t="shared" si="0"/>
        <v>0</v>
      </c>
      <c r="D41" s="131">
        <f t="shared" si="1"/>
        <v>0</v>
      </c>
      <c r="E41" s="132"/>
      <c r="F41" s="236">
        <f t="shared" si="2"/>
        <v>0</v>
      </c>
      <c r="G41" s="49"/>
      <c r="H41" s="48"/>
      <c r="I41" s="234">
        <f t="shared" si="3"/>
        <v>0</v>
      </c>
    </row>
    <row r="42" spans="1:13">
      <c r="B42" s="22"/>
      <c r="C42" s="25">
        <f t="shared" si="0"/>
        <v>0</v>
      </c>
      <c r="D42" s="131">
        <f t="shared" si="1"/>
        <v>0</v>
      </c>
      <c r="E42" s="132"/>
      <c r="F42" s="236">
        <f t="shared" si="2"/>
        <v>0</v>
      </c>
      <c r="G42" s="49"/>
      <c r="H42" s="48"/>
      <c r="I42" s="234">
        <f t="shared" si="3"/>
        <v>0</v>
      </c>
    </row>
    <row r="43" spans="1:13">
      <c r="B43" s="22"/>
      <c r="C43" s="25">
        <f t="shared" si="0"/>
        <v>0</v>
      </c>
      <c r="D43" s="131">
        <f t="shared" si="1"/>
        <v>0</v>
      </c>
      <c r="E43" s="132"/>
      <c r="F43" s="236">
        <f t="shared" si="2"/>
        <v>0</v>
      </c>
      <c r="G43" s="49"/>
      <c r="H43" s="48"/>
      <c r="I43" s="234">
        <f t="shared" si="3"/>
        <v>0</v>
      </c>
    </row>
    <row r="44" spans="1:13">
      <c r="B44" s="22"/>
      <c r="C44" s="25">
        <f t="shared" si="0"/>
        <v>0</v>
      </c>
      <c r="D44" s="131">
        <f t="shared" si="1"/>
        <v>0</v>
      </c>
      <c r="E44" s="132"/>
      <c r="F44" s="236">
        <f t="shared" si="2"/>
        <v>0</v>
      </c>
      <c r="G44" s="49"/>
      <c r="H44" s="48"/>
      <c r="I44" s="234">
        <f t="shared" si="3"/>
        <v>0</v>
      </c>
    </row>
    <row r="45" spans="1:13">
      <c r="B45" s="90"/>
      <c r="C45" s="25">
        <f t="shared" si="0"/>
        <v>0</v>
      </c>
      <c r="D45" s="131">
        <f t="shared" si="1"/>
        <v>0</v>
      </c>
      <c r="E45" s="132"/>
      <c r="F45" s="236">
        <f t="shared" si="2"/>
        <v>0</v>
      </c>
      <c r="G45" s="49"/>
      <c r="H45" s="48"/>
      <c r="I45" s="234">
        <f t="shared" si="3"/>
        <v>0</v>
      </c>
    </row>
    <row r="46" spans="1:13" ht="12.75" customHeight="1" thickBot="1">
      <c r="D46" s="31"/>
      <c r="E46" s="31"/>
      <c r="F46" s="32" t="s">
        <v>27</v>
      </c>
      <c r="G46" s="33"/>
      <c r="H46" s="26" t="s">
        <v>81</v>
      </c>
      <c r="I46" s="235">
        <f>SUM(I24:I45)</f>
        <v>0</v>
      </c>
      <c r="L46" s="54"/>
      <c r="M46" s="27"/>
    </row>
    <row r="47" spans="1:13" ht="14.25" customHeight="1" thickTop="1">
      <c r="C47" s="15"/>
      <c r="D47" s="15"/>
      <c r="E47" s="15"/>
      <c r="F47" s="15"/>
      <c r="G47" s="15"/>
      <c r="H47" s="20"/>
    </row>
    <row r="48" spans="1:13" ht="13.5" customHeight="1">
      <c r="A48" s="371" t="s">
        <v>28</v>
      </c>
      <c r="B48" s="371"/>
      <c r="C48" s="371"/>
      <c r="D48" s="371"/>
      <c r="E48" s="371"/>
      <c r="F48" s="371"/>
      <c r="G48" s="371"/>
      <c r="H48" s="371"/>
      <c r="I48" s="371"/>
      <c r="J48" s="50"/>
    </row>
    <row r="49" spans="1:10" ht="14.1" customHeight="1">
      <c r="A49" s="372" t="s">
        <v>29</v>
      </c>
      <c r="B49" s="372"/>
      <c r="C49" s="372"/>
      <c r="D49" s="372"/>
      <c r="E49" s="372"/>
      <c r="F49" s="372"/>
      <c r="G49" s="372"/>
      <c r="H49" s="372"/>
      <c r="I49" s="51" t="s">
        <v>11</v>
      </c>
    </row>
    <row r="50" spans="1:10" ht="13.5" customHeight="1">
      <c r="A50" s="372" t="s">
        <v>30</v>
      </c>
      <c r="B50" s="372"/>
      <c r="C50" s="372"/>
      <c r="D50" s="372"/>
      <c r="E50" s="372"/>
      <c r="F50" s="372"/>
      <c r="G50" s="372"/>
      <c r="H50" s="372"/>
      <c r="I50" s="372"/>
      <c r="J50" s="52"/>
    </row>
    <row r="51" spans="1:10" ht="9" customHeight="1">
      <c r="B51" s="52"/>
      <c r="C51" s="52"/>
      <c r="D51" s="52"/>
      <c r="E51" s="52"/>
      <c r="F51" s="52"/>
      <c r="G51" s="52"/>
      <c r="H51" s="52"/>
      <c r="I51" s="52"/>
      <c r="J51" s="52"/>
    </row>
    <row r="52" spans="1:10" ht="12" customHeight="1">
      <c r="B52" s="53" t="s">
        <v>31</v>
      </c>
      <c r="C52" s="15"/>
      <c r="F52" s="53" t="s">
        <v>32</v>
      </c>
      <c r="G52" s="15"/>
      <c r="H52" s="15"/>
      <c r="I52" s="15"/>
    </row>
    <row r="53" spans="1:10" ht="18.75" customHeight="1">
      <c r="B53" s="36"/>
      <c r="C53" s="36"/>
      <c r="F53" s="362"/>
      <c r="G53" s="362"/>
      <c r="H53" s="362"/>
      <c r="I53" s="362"/>
    </row>
    <row r="54" spans="1:10" ht="12" customHeight="1">
      <c r="B54" s="16" t="s">
        <v>33</v>
      </c>
      <c r="F54" s="16" t="s">
        <v>80</v>
      </c>
      <c r="I54" s="16" t="s">
        <v>46</v>
      </c>
    </row>
    <row r="55" spans="1:10" ht="12" customHeight="1">
      <c r="B55" s="373" t="s">
        <v>34</v>
      </c>
      <c r="C55" s="373"/>
      <c r="D55" s="373"/>
      <c r="E55" s="373"/>
      <c r="F55" s="373"/>
      <c r="G55" s="373"/>
      <c r="H55" s="373"/>
      <c r="I55" s="373"/>
    </row>
    <row r="56" spans="1:10" ht="18.75" customHeight="1">
      <c r="B56" s="36"/>
      <c r="C56" s="36"/>
      <c r="F56" s="362"/>
      <c r="G56" s="362"/>
      <c r="H56" s="362"/>
      <c r="I56" s="362"/>
    </row>
    <row r="57" spans="1:10" ht="13.5" customHeight="1">
      <c r="B57" s="16" t="s">
        <v>35</v>
      </c>
      <c r="F57" s="16" t="s">
        <v>79</v>
      </c>
      <c r="I57" s="16" t="s">
        <v>46</v>
      </c>
    </row>
    <row r="58" spans="1:10" ht="9.75" customHeight="1">
      <c r="C58" s="17" t="s">
        <v>36</v>
      </c>
      <c r="D58" s="17">
        <v>1</v>
      </c>
      <c r="E58" s="18" t="s">
        <v>37</v>
      </c>
      <c r="F58" s="19">
        <v>1</v>
      </c>
    </row>
    <row r="59" spans="1:10">
      <c r="C59" s="19"/>
    </row>
    <row r="60" spans="1:10" ht="15" customHeight="1">
      <c r="D60" s="17"/>
      <c r="E60" s="18"/>
      <c r="F60" s="19"/>
    </row>
  </sheetData>
  <mergeCells count="17">
    <mergeCell ref="B6:I6"/>
    <mergeCell ref="B7:I7"/>
    <mergeCell ref="B10:C10"/>
    <mergeCell ref="B11:C11"/>
    <mergeCell ref="B12:C12"/>
    <mergeCell ref="F56:I56"/>
    <mergeCell ref="B13:C13"/>
    <mergeCell ref="B14:C14"/>
    <mergeCell ref="B15:C15"/>
    <mergeCell ref="B16:C16"/>
    <mergeCell ref="B17:C17"/>
    <mergeCell ref="B18:C18"/>
    <mergeCell ref="A48:I48"/>
    <mergeCell ref="A49:H49"/>
    <mergeCell ref="A50:I50"/>
    <mergeCell ref="F53:I53"/>
    <mergeCell ref="B55:I55"/>
  </mergeCells>
  <dataValidations disablePrompts="1" count="2">
    <dataValidation type="list" operator="greaterThanOrEqual" allowBlank="1" showInputMessage="1" showErrorMessage="1" sqref="F60 F58" xr:uid="{00000000-0002-0000-0200-000000000000}">
      <formula1>#REF!</formula1>
    </dataValidation>
    <dataValidation type="list" allowBlank="1" showInputMessage="1" showErrorMessage="1" sqref="I49" xr:uid="{00000000-0002-0000-0200-000001000000}">
      <formula1>$L$1:$L$13</formula1>
    </dataValidation>
  </dataValidations>
  <printOptions horizontalCentered="1"/>
  <pageMargins left="0.25" right="0.25" top="0.25" bottom="0.25" header="0.15" footer="0.15"/>
  <pageSetup scale="96" fitToHeight="0" orientation="portrait" r:id="rId1"/>
  <headerFooter alignWithMargins="0">
    <oddFooter>&amp;LCC: Project Engineer, PW Mgmt. Asst., Finance, Contractor&amp;R&amp;D | &amp;T</oddFooter>
  </headerFooter>
  <rowBreaks count="1" manualBreakCount="1">
    <brk id="59" max="10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5D7F1-8B08-484E-81D7-1D10E0017668}">
  <sheetPr>
    <pageSetUpPr autoPageBreaks="0" fitToPage="1"/>
  </sheetPr>
  <dimension ref="A1:M60"/>
  <sheetViews>
    <sheetView showZeros="0" showOutlineSymbols="0" zoomScaleNormal="100" zoomScaleSheetLayoutView="100" workbookViewId="0">
      <selection activeCell="I46" sqref="I46"/>
    </sheetView>
  </sheetViews>
  <sheetFormatPr defaultColWidth="9.140625" defaultRowHeight="12.75"/>
  <cols>
    <col min="1" max="1" width="4.7109375" style="23" customWidth="1"/>
    <col min="2" max="2" width="5.7109375" style="23" customWidth="1"/>
    <col min="3" max="3" width="39.85546875" style="23" customWidth="1"/>
    <col min="4" max="4" width="4.7109375" style="23" customWidth="1"/>
    <col min="5" max="5" width="3" style="23" customWidth="1"/>
    <col min="6" max="6" width="12.7109375" style="23" customWidth="1"/>
    <col min="7" max="7" width="3" style="23" customWidth="1"/>
    <col min="8" max="8" width="12.7109375" style="23" customWidth="1"/>
    <col min="9" max="9" width="17.7109375" style="23" customWidth="1"/>
    <col min="10" max="10" width="3.7109375" style="23" customWidth="1"/>
    <col min="11" max="11" width="9.140625" style="23"/>
    <col min="12" max="12" width="11.28515625" style="23" customWidth="1"/>
    <col min="13" max="13" width="21.5703125" style="23" customWidth="1"/>
    <col min="14" max="17" width="9.140625" style="23"/>
    <col min="18" max="23" width="9.140625" style="23" customWidth="1"/>
    <col min="24" max="16384" width="9.140625" style="23"/>
  </cols>
  <sheetData>
    <row r="1" spans="2:13">
      <c r="C1" s="1"/>
      <c r="D1" s="1"/>
      <c r="E1" s="1"/>
      <c r="F1" s="1"/>
      <c r="G1" s="1"/>
      <c r="H1" s="20" t="s">
        <v>46</v>
      </c>
      <c r="I1" s="34">
        <v>45414</v>
      </c>
      <c r="J1" s="2"/>
    </row>
    <row r="3" spans="2:13">
      <c r="E3" s="28" t="s">
        <v>86</v>
      </c>
      <c r="F3" s="22">
        <f>COUNT(F10:F19,H10:H19)+1</f>
        <v>1</v>
      </c>
      <c r="G3" s="24"/>
      <c r="H3" s="3" t="s">
        <v>12</v>
      </c>
      <c r="I3" s="35">
        <f>Purchase_Order</f>
        <v>62893</v>
      </c>
    </row>
    <row r="4" spans="2:13">
      <c r="C4" s="28"/>
      <c r="D4" s="28"/>
      <c r="E4" s="28"/>
      <c r="F4" s="24"/>
      <c r="G4" s="24"/>
      <c r="H4" s="3" t="s">
        <v>13</v>
      </c>
      <c r="I4" s="21" t="str">
        <f>IF('PROJECT INFO'!B26&gt;1,"VARIOUS",Account_Number0)</f>
        <v>VARIOUS</v>
      </c>
    </row>
    <row r="5" spans="2:13">
      <c r="C5" s="28"/>
      <c r="D5" s="28"/>
      <c r="E5" s="28"/>
      <c r="F5" s="24"/>
      <c r="G5" s="24"/>
      <c r="H5" s="3"/>
    </row>
    <row r="6" spans="2:13" ht="12" customHeight="1">
      <c r="B6" s="374"/>
      <c r="C6" s="375"/>
      <c r="D6" s="375"/>
      <c r="E6" s="375"/>
      <c r="F6" s="375"/>
      <c r="G6" s="375"/>
      <c r="H6" s="375"/>
      <c r="I6" s="376"/>
      <c r="J6" s="29"/>
    </row>
    <row r="7" spans="2:13" ht="15.75">
      <c r="B7" s="377" t="str">
        <f>CONCATENATE(Fiscal_Year," ",Program," (",Location,")")</f>
        <v>2023/24 Seal Coat Street Pavement Improvements (E 16th St; Glendale Ave)</v>
      </c>
      <c r="C7" s="378"/>
      <c r="D7" s="378"/>
      <c r="E7" s="378"/>
      <c r="F7" s="378"/>
      <c r="G7" s="378"/>
      <c r="H7" s="378"/>
      <c r="I7" s="379"/>
      <c r="J7" s="5"/>
    </row>
    <row r="8" spans="2:13">
      <c r="L8" s="61" t="s">
        <v>77</v>
      </c>
      <c r="M8" s="60"/>
    </row>
    <row r="9" spans="2:13">
      <c r="B9" s="23" t="s">
        <v>14</v>
      </c>
      <c r="E9" s="23" t="s">
        <v>15</v>
      </c>
      <c r="I9" s="36"/>
      <c r="L9" s="62" t="s">
        <v>76</v>
      </c>
      <c r="M9" s="24" t="s">
        <v>84</v>
      </c>
    </row>
    <row r="10" spans="2:13" ht="12.95" customHeight="1">
      <c r="B10" s="380"/>
      <c r="C10" s="381"/>
      <c r="E10" s="37">
        <v>1</v>
      </c>
      <c r="F10" s="38"/>
      <c r="G10" s="31">
        <v>11</v>
      </c>
      <c r="H10" s="38"/>
      <c r="I10" s="6" t="s">
        <v>78</v>
      </c>
      <c r="J10" s="7"/>
      <c r="L10" s="67"/>
      <c r="M10" s="64"/>
    </row>
    <row r="11" spans="2:13" ht="12.95" customHeight="1">
      <c r="B11" s="363" t="str">
        <f>Contractor_Name</f>
        <v>Manatt's Inc</v>
      </c>
      <c r="C11" s="364"/>
      <c r="E11" s="29">
        <v>2</v>
      </c>
      <c r="F11" s="38"/>
      <c r="G11" s="23">
        <v>12</v>
      </c>
      <c r="H11" s="38"/>
      <c r="I11" s="8" t="s">
        <v>16</v>
      </c>
      <c r="J11" s="7"/>
      <c r="L11" s="68"/>
      <c r="M11" s="65"/>
    </row>
    <row r="12" spans="2:13" ht="12.95" customHeight="1">
      <c r="B12" s="365" t="s">
        <v>17</v>
      </c>
      <c r="C12" s="366"/>
      <c r="E12" s="29">
        <v>3</v>
      </c>
      <c r="F12" s="38"/>
      <c r="G12" s="23">
        <v>13</v>
      </c>
      <c r="H12" s="38"/>
      <c r="I12" s="63">
        <f>SUM(F10:F19,H10:H19)</f>
        <v>0</v>
      </c>
      <c r="J12" s="9"/>
      <c r="L12" s="68"/>
      <c r="M12" s="65"/>
    </row>
    <row r="13" spans="2:13" ht="12.95" customHeight="1">
      <c r="B13" s="363" t="str">
        <f>Contractor_Address1</f>
        <v>2120 E 13th Street</v>
      </c>
      <c r="C13" s="364"/>
      <c r="E13" s="29">
        <v>4</v>
      </c>
      <c r="F13" s="38"/>
      <c r="G13" s="23">
        <v>14</v>
      </c>
      <c r="H13" s="38"/>
      <c r="I13" s="8" t="s">
        <v>18</v>
      </c>
      <c r="J13" s="7"/>
      <c r="L13" s="68"/>
      <c r="M13" s="65"/>
    </row>
    <row r="14" spans="2:13" ht="12.95" customHeight="1">
      <c r="B14" s="365" t="s">
        <v>19</v>
      </c>
      <c r="C14" s="366"/>
      <c r="E14" s="29">
        <v>5</v>
      </c>
      <c r="F14" s="38"/>
      <c r="G14" s="23">
        <v>15</v>
      </c>
      <c r="H14" s="38"/>
      <c r="I14" s="63">
        <f>Award_Amount</f>
        <v>1828001.36</v>
      </c>
      <c r="J14" s="10"/>
      <c r="L14" s="29"/>
      <c r="M14" s="65"/>
    </row>
    <row r="15" spans="2:13" ht="12.95" customHeight="1">
      <c r="B15" s="363" t="str">
        <f>Contractor_Address2</f>
        <v>Ames, IA 50010</v>
      </c>
      <c r="C15" s="364"/>
      <c r="E15" s="29">
        <v>6</v>
      </c>
      <c r="F15" s="38"/>
      <c r="G15" s="23">
        <v>16</v>
      </c>
      <c r="H15" s="38"/>
      <c r="I15" s="30" t="s">
        <v>21</v>
      </c>
      <c r="J15" s="11"/>
      <c r="L15" s="29"/>
      <c r="M15" s="65"/>
    </row>
    <row r="16" spans="2:13" ht="12.95" customHeight="1">
      <c r="B16" s="365" t="s">
        <v>20</v>
      </c>
      <c r="C16" s="366"/>
      <c r="E16" s="29">
        <v>7</v>
      </c>
      <c r="F16" s="38"/>
      <c r="G16" s="23">
        <v>17</v>
      </c>
      <c r="H16" s="38"/>
      <c r="I16" s="127">
        <f>I46</f>
        <v>2100</v>
      </c>
      <c r="J16" s="12"/>
      <c r="L16" s="29"/>
      <c r="M16" s="65"/>
    </row>
    <row r="17" spans="2:13" ht="12.95" customHeight="1">
      <c r="B17" s="367"/>
      <c r="C17" s="368"/>
      <c r="E17" s="29">
        <v>8</v>
      </c>
      <c r="F17" s="38"/>
      <c r="G17" s="23">
        <v>18</v>
      </c>
      <c r="H17" s="38"/>
      <c r="I17" s="55" t="s">
        <v>82</v>
      </c>
      <c r="J17" s="13"/>
      <c r="L17" s="29"/>
      <c r="M17" s="65"/>
    </row>
    <row r="18" spans="2:13">
      <c r="B18" s="369"/>
      <c r="C18" s="370"/>
      <c r="E18" s="29">
        <v>9</v>
      </c>
      <c r="F18" s="38"/>
      <c r="G18" s="23">
        <v>19</v>
      </c>
      <c r="H18" s="38"/>
      <c r="I18" s="8" t="s">
        <v>83</v>
      </c>
      <c r="J18" s="11"/>
      <c r="L18" s="29"/>
      <c r="M18" s="65"/>
    </row>
    <row r="19" spans="2:13">
      <c r="B19" s="39"/>
      <c r="C19" s="39"/>
      <c r="E19" s="29">
        <v>10</v>
      </c>
      <c r="F19" s="38"/>
      <c r="G19" s="23">
        <v>20</v>
      </c>
      <c r="H19" s="40"/>
      <c r="I19" s="63">
        <f>F20+H20+ABS(I46)-M22</f>
        <v>2100</v>
      </c>
      <c r="J19" s="11"/>
      <c r="L19" s="29"/>
      <c r="M19" s="65"/>
    </row>
    <row r="20" spans="2:13" ht="13.5" thickBot="1">
      <c r="C20" s="59" t="str">
        <f>IF(((I12+I16)/I14)&lt;0.2,IF(I19&lt;50000,IF(I19&lt;25000,"Staff Approval","Requires City Manager Approval"),"Requires City Council Approval"),"Requires City Council Approval")</f>
        <v>Staff Approval</v>
      </c>
      <c r="E20" s="29"/>
      <c r="F20" s="56">
        <f t="array" ref="F20">SUM(ABS(F10:F19))</f>
        <v>0</v>
      </c>
      <c r="G20" s="57"/>
      <c r="H20" s="58">
        <f t="array" ref="H20">SUM(ABS(H10:H19))</f>
        <v>0</v>
      </c>
      <c r="I20" s="8" t="s">
        <v>22</v>
      </c>
      <c r="J20" s="7"/>
      <c r="L20" s="29"/>
      <c r="M20" s="65"/>
    </row>
    <row r="21" spans="2:13" ht="14.25" thickTop="1" thickBot="1">
      <c r="E21" s="41"/>
      <c r="F21" s="42"/>
      <c r="G21" s="36"/>
      <c r="H21" s="42"/>
      <c r="I21" s="128">
        <f>I16+I14+I12</f>
        <v>1830101.36</v>
      </c>
      <c r="J21" s="43"/>
      <c r="L21" s="41"/>
      <c r="M21" s="66"/>
    </row>
    <row r="22" spans="2:13" ht="13.5" thickTop="1">
      <c r="B22" s="44" t="s">
        <v>23</v>
      </c>
      <c r="L22" s="69">
        <f>MAX(L10:L21)</f>
        <v>0</v>
      </c>
      <c r="M22" s="70">
        <f>IF(ISERROR(VLOOKUP(L22,L10:M21,2,FALSE)),0,VLOOKUP(L22,L10:M21,2,FALSE))</f>
        <v>0</v>
      </c>
    </row>
    <row r="23" spans="2:13" ht="13.5" thickBot="1">
      <c r="B23" s="45" t="s">
        <v>24</v>
      </c>
      <c r="C23" s="45" t="s">
        <v>25</v>
      </c>
      <c r="D23" s="129" t="s">
        <v>26</v>
      </c>
      <c r="E23" s="130"/>
      <c r="F23" s="45" t="s">
        <v>8</v>
      </c>
      <c r="G23" s="46"/>
      <c r="H23" s="14" t="s">
        <v>7</v>
      </c>
      <c r="I23" s="14" t="s">
        <v>10</v>
      </c>
      <c r="L23" s="108" t="s">
        <v>113</v>
      </c>
    </row>
    <row r="24" spans="2:13" ht="13.5" thickTop="1">
      <c r="B24" s="250" t="s">
        <v>291</v>
      </c>
      <c r="C24" s="25" t="str">
        <f>IF(ISERROR(VLOOKUP($B24,BIDTAB,2,FALSE)),0,VLOOKUP($B24,BIDTAB,2,FALSE))</f>
        <v>Conection to Existing Structure</v>
      </c>
      <c r="D24" s="131" t="str">
        <f t="shared" ref="D24:D45" si="0">IF(ISERROR(VLOOKUP($B24,BIDTAB,3,FALSE)),0,VLOOKUP($B24,BIDTAB,3,FALSE))</f>
        <v>EA</v>
      </c>
      <c r="E24" s="132"/>
      <c r="F24" s="236">
        <f t="shared" ref="F24:F45" si="1">IF(ISERROR(VLOOKUP($B24,BIDTAB,7,FALSE)),0,VLOOKUP($B24,BIDTAB,7,FALSE))</f>
        <v>2100</v>
      </c>
      <c r="G24" s="47"/>
      <c r="H24" s="48">
        <v>1</v>
      </c>
      <c r="I24" s="234">
        <f>ROUND(F24*H24,2)</f>
        <v>2100</v>
      </c>
      <c r="L24" s="23" t="s">
        <v>114</v>
      </c>
    </row>
    <row r="25" spans="2:13">
      <c r="B25" s="22"/>
      <c r="C25" s="25">
        <f t="shared" ref="C25:C45" si="2">IF(ISERROR(VLOOKUP($B25,BIDTAB,2,FALSE)),0,VLOOKUP($B25,BIDTAB,2,FALSE))</f>
        <v>0</v>
      </c>
      <c r="D25" s="131">
        <f t="shared" si="0"/>
        <v>0</v>
      </c>
      <c r="E25" s="132"/>
      <c r="F25" s="236">
        <f t="shared" si="1"/>
        <v>0</v>
      </c>
      <c r="G25" s="49"/>
      <c r="H25" s="48"/>
      <c r="I25" s="234">
        <f t="shared" ref="I25:I45" si="3">ROUND(F25*H25,2)</f>
        <v>0</v>
      </c>
      <c r="L25" s="23" t="s">
        <v>118</v>
      </c>
    </row>
    <row r="26" spans="2:13">
      <c r="B26" s="22"/>
      <c r="C26" s="25">
        <f t="shared" si="2"/>
        <v>0</v>
      </c>
      <c r="D26" s="131">
        <f t="shared" si="0"/>
        <v>0</v>
      </c>
      <c r="E26" s="132"/>
      <c r="F26" s="236">
        <f t="shared" si="1"/>
        <v>0</v>
      </c>
      <c r="G26" s="49"/>
      <c r="H26" s="48"/>
      <c r="I26" s="234">
        <f t="shared" si="3"/>
        <v>0</v>
      </c>
    </row>
    <row r="27" spans="2:13">
      <c r="B27" s="22"/>
      <c r="C27" s="25">
        <f t="shared" si="2"/>
        <v>0</v>
      </c>
      <c r="D27" s="131">
        <f t="shared" si="0"/>
        <v>0</v>
      </c>
      <c r="E27" s="132"/>
      <c r="F27" s="236">
        <f t="shared" si="1"/>
        <v>0</v>
      </c>
      <c r="G27" s="49"/>
      <c r="H27" s="48"/>
      <c r="I27" s="234">
        <f t="shared" si="3"/>
        <v>0</v>
      </c>
    </row>
    <row r="28" spans="2:13">
      <c r="B28" s="22"/>
      <c r="C28" s="25">
        <f t="shared" si="2"/>
        <v>0</v>
      </c>
      <c r="D28" s="131">
        <f t="shared" si="0"/>
        <v>0</v>
      </c>
      <c r="E28" s="132"/>
      <c r="F28" s="236">
        <f t="shared" si="1"/>
        <v>0</v>
      </c>
      <c r="G28" s="49"/>
      <c r="H28" s="48"/>
      <c r="I28" s="234">
        <f t="shared" si="3"/>
        <v>0</v>
      </c>
    </row>
    <row r="29" spans="2:13">
      <c r="B29" s="22"/>
      <c r="C29" s="25">
        <f t="shared" si="2"/>
        <v>0</v>
      </c>
      <c r="D29" s="131">
        <f t="shared" si="0"/>
        <v>0</v>
      </c>
      <c r="E29" s="132"/>
      <c r="F29" s="236">
        <f t="shared" si="1"/>
        <v>0</v>
      </c>
      <c r="G29" s="49"/>
      <c r="H29" s="48"/>
      <c r="I29" s="234">
        <f t="shared" si="3"/>
        <v>0</v>
      </c>
    </row>
    <row r="30" spans="2:13">
      <c r="B30" s="22"/>
      <c r="C30" s="25">
        <f t="shared" si="2"/>
        <v>0</v>
      </c>
      <c r="D30" s="131">
        <f t="shared" si="0"/>
        <v>0</v>
      </c>
      <c r="E30" s="132"/>
      <c r="F30" s="236">
        <f t="shared" si="1"/>
        <v>0</v>
      </c>
      <c r="G30" s="49"/>
      <c r="H30" s="48"/>
      <c r="I30" s="234">
        <f t="shared" si="3"/>
        <v>0</v>
      </c>
    </row>
    <row r="31" spans="2:13">
      <c r="B31" s="22"/>
      <c r="C31" s="25">
        <f t="shared" si="2"/>
        <v>0</v>
      </c>
      <c r="D31" s="131">
        <f t="shared" si="0"/>
        <v>0</v>
      </c>
      <c r="E31" s="132"/>
      <c r="F31" s="236">
        <f t="shared" si="1"/>
        <v>0</v>
      </c>
      <c r="G31" s="49"/>
      <c r="H31" s="48"/>
      <c r="I31" s="234">
        <f t="shared" si="3"/>
        <v>0</v>
      </c>
    </row>
    <row r="32" spans="2:13">
      <c r="B32" s="22"/>
      <c r="C32" s="25">
        <f t="shared" si="2"/>
        <v>0</v>
      </c>
      <c r="D32" s="131">
        <f t="shared" si="0"/>
        <v>0</v>
      </c>
      <c r="E32" s="132"/>
      <c r="F32" s="236">
        <f t="shared" si="1"/>
        <v>0</v>
      </c>
      <c r="G32" s="49"/>
      <c r="H32" s="48"/>
      <c r="I32" s="234">
        <f t="shared" si="3"/>
        <v>0</v>
      </c>
    </row>
    <row r="33" spans="1:13">
      <c r="B33" s="22"/>
      <c r="C33" s="25">
        <f t="shared" si="2"/>
        <v>0</v>
      </c>
      <c r="D33" s="131">
        <f t="shared" si="0"/>
        <v>0</v>
      </c>
      <c r="E33" s="132"/>
      <c r="F33" s="236">
        <f t="shared" si="1"/>
        <v>0</v>
      </c>
      <c r="G33" s="49"/>
      <c r="H33" s="48"/>
      <c r="I33" s="234">
        <f t="shared" si="3"/>
        <v>0</v>
      </c>
    </row>
    <row r="34" spans="1:13">
      <c r="B34" s="22"/>
      <c r="C34" s="25">
        <f t="shared" si="2"/>
        <v>0</v>
      </c>
      <c r="D34" s="131">
        <f t="shared" si="0"/>
        <v>0</v>
      </c>
      <c r="E34" s="132"/>
      <c r="F34" s="236">
        <f t="shared" si="1"/>
        <v>0</v>
      </c>
      <c r="G34" s="49"/>
      <c r="H34" s="48"/>
      <c r="I34" s="234">
        <f t="shared" si="3"/>
        <v>0</v>
      </c>
    </row>
    <row r="35" spans="1:13">
      <c r="B35" s="22"/>
      <c r="C35" s="25">
        <f t="shared" si="2"/>
        <v>0</v>
      </c>
      <c r="D35" s="131">
        <f t="shared" si="0"/>
        <v>0</v>
      </c>
      <c r="E35" s="132"/>
      <c r="F35" s="236">
        <f t="shared" si="1"/>
        <v>0</v>
      </c>
      <c r="G35" s="49"/>
      <c r="H35" s="48"/>
      <c r="I35" s="234">
        <f t="shared" si="3"/>
        <v>0</v>
      </c>
    </row>
    <row r="36" spans="1:13">
      <c r="B36" s="22"/>
      <c r="C36" s="25">
        <f t="shared" si="2"/>
        <v>0</v>
      </c>
      <c r="D36" s="131">
        <f t="shared" si="0"/>
        <v>0</v>
      </c>
      <c r="E36" s="132"/>
      <c r="F36" s="236">
        <f t="shared" si="1"/>
        <v>0</v>
      </c>
      <c r="G36" s="49"/>
      <c r="H36" s="48"/>
      <c r="I36" s="234">
        <f t="shared" si="3"/>
        <v>0</v>
      </c>
    </row>
    <row r="37" spans="1:13">
      <c r="B37" s="22"/>
      <c r="C37" s="25">
        <f t="shared" si="2"/>
        <v>0</v>
      </c>
      <c r="D37" s="131">
        <f t="shared" si="0"/>
        <v>0</v>
      </c>
      <c r="E37" s="132"/>
      <c r="F37" s="236">
        <f t="shared" si="1"/>
        <v>0</v>
      </c>
      <c r="G37" s="49"/>
      <c r="H37" s="48"/>
      <c r="I37" s="234">
        <f t="shared" si="3"/>
        <v>0</v>
      </c>
    </row>
    <row r="38" spans="1:13">
      <c r="B38" s="22"/>
      <c r="C38" s="25">
        <f t="shared" si="2"/>
        <v>0</v>
      </c>
      <c r="D38" s="131">
        <f t="shared" si="0"/>
        <v>0</v>
      </c>
      <c r="E38" s="132"/>
      <c r="F38" s="236">
        <f t="shared" si="1"/>
        <v>0</v>
      </c>
      <c r="G38" s="49"/>
      <c r="H38" s="48"/>
      <c r="I38" s="234">
        <f t="shared" si="3"/>
        <v>0</v>
      </c>
    </row>
    <row r="39" spans="1:13">
      <c r="B39" s="22"/>
      <c r="C39" s="25">
        <f t="shared" si="2"/>
        <v>0</v>
      </c>
      <c r="D39" s="131">
        <f t="shared" si="0"/>
        <v>0</v>
      </c>
      <c r="E39" s="132"/>
      <c r="F39" s="236">
        <f t="shared" si="1"/>
        <v>0</v>
      </c>
      <c r="G39" s="49"/>
      <c r="H39" s="48"/>
      <c r="I39" s="234">
        <f t="shared" si="3"/>
        <v>0</v>
      </c>
    </row>
    <row r="40" spans="1:13">
      <c r="B40" s="22"/>
      <c r="C40" s="25">
        <f t="shared" si="2"/>
        <v>0</v>
      </c>
      <c r="D40" s="131">
        <f t="shared" si="0"/>
        <v>0</v>
      </c>
      <c r="E40" s="132"/>
      <c r="F40" s="236">
        <f t="shared" si="1"/>
        <v>0</v>
      </c>
      <c r="G40" s="49"/>
      <c r="H40" s="48"/>
      <c r="I40" s="234">
        <f t="shared" si="3"/>
        <v>0</v>
      </c>
    </row>
    <row r="41" spans="1:13">
      <c r="B41" s="22"/>
      <c r="C41" s="25">
        <f t="shared" si="2"/>
        <v>0</v>
      </c>
      <c r="D41" s="131">
        <f t="shared" si="0"/>
        <v>0</v>
      </c>
      <c r="E41" s="132"/>
      <c r="F41" s="236">
        <f t="shared" si="1"/>
        <v>0</v>
      </c>
      <c r="G41" s="49"/>
      <c r="H41" s="48"/>
      <c r="I41" s="234">
        <f t="shared" si="3"/>
        <v>0</v>
      </c>
    </row>
    <row r="42" spans="1:13">
      <c r="B42" s="22"/>
      <c r="C42" s="25">
        <f t="shared" si="2"/>
        <v>0</v>
      </c>
      <c r="D42" s="131">
        <f t="shared" si="0"/>
        <v>0</v>
      </c>
      <c r="E42" s="132"/>
      <c r="F42" s="236">
        <f t="shared" si="1"/>
        <v>0</v>
      </c>
      <c r="G42" s="49"/>
      <c r="H42" s="48"/>
      <c r="I42" s="234">
        <f t="shared" si="3"/>
        <v>0</v>
      </c>
    </row>
    <row r="43" spans="1:13">
      <c r="B43" s="22"/>
      <c r="C43" s="25">
        <f t="shared" si="2"/>
        <v>0</v>
      </c>
      <c r="D43" s="131">
        <f t="shared" si="0"/>
        <v>0</v>
      </c>
      <c r="E43" s="132"/>
      <c r="F43" s="236">
        <f t="shared" si="1"/>
        <v>0</v>
      </c>
      <c r="G43" s="49"/>
      <c r="H43" s="48"/>
      <c r="I43" s="234">
        <f t="shared" si="3"/>
        <v>0</v>
      </c>
    </row>
    <row r="44" spans="1:13">
      <c r="B44" s="22"/>
      <c r="C44" s="25">
        <f t="shared" si="2"/>
        <v>0</v>
      </c>
      <c r="D44" s="131">
        <f t="shared" si="0"/>
        <v>0</v>
      </c>
      <c r="E44" s="132"/>
      <c r="F44" s="236">
        <f t="shared" si="1"/>
        <v>0</v>
      </c>
      <c r="G44" s="49"/>
      <c r="H44" s="48"/>
      <c r="I44" s="234">
        <f t="shared" si="3"/>
        <v>0</v>
      </c>
    </row>
    <row r="45" spans="1:13">
      <c r="B45" s="90"/>
      <c r="C45" s="25">
        <f t="shared" si="2"/>
        <v>0</v>
      </c>
      <c r="D45" s="131">
        <f t="shared" si="0"/>
        <v>0</v>
      </c>
      <c r="E45" s="132"/>
      <c r="F45" s="236">
        <f t="shared" si="1"/>
        <v>0</v>
      </c>
      <c r="G45" s="49"/>
      <c r="H45" s="48"/>
      <c r="I45" s="234">
        <f t="shared" si="3"/>
        <v>0</v>
      </c>
    </row>
    <row r="46" spans="1:13" ht="12.75" customHeight="1" thickBot="1">
      <c r="D46" s="31"/>
      <c r="E46" s="31"/>
      <c r="F46" s="32" t="s">
        <v>27</v>
      </c>
      <c r="G46" s="33"/>
      <c r="H46" s="26" t="s">
        <v>81</v>
      </c>
      <c r="I46" s="235">
        <f>SUM(I24:I45)</f>
        <v>2100</v>
      </c>
      <c r="L46" s="54"/>
      <c r="M46" s="27"/>
    </row>
    <row r="47" spans="1:13" ht="14.25" customHeight="1" thickTop="1">
      <c r="C47" s="15"/>
      <c r="D47" s="15"/>
      <c r="E47" s="15"/>
      <c r="F47" s="15"/>
      <c r="G47" s="15"/>
      <c r="H47" s="20"/>
    </row>
    <row r="48" spans="1:13" ht="13.5" customHeight="1">
      <c r="A48" s="371" t="s">
        <v>28</v>
      </c>
      <c r="B48" s="371"/>
      <c r="C48" s="371"/>
      <c r="D48" s="371"/>
      <c r="E48" s="371"/>
      <c r="F48" s="371"/>
      <c r="G48" s="371"/>
      <c r="H48" s="371"/>
      <c r="I48" s="371"/>
      <c r="J48" s="50"/>
    </row>
    <row r="49" spans="1:10" ht="14.1" customHeight="1">
      <c r="A49" s="372" t="s">
        <v>29</v>
      </c>
      <c r="B49" s="372"/>
      <c r="C49" s="372"/>
      <c r="D49" s="372"/>
      <c r="E49" s="372"/>
      <c r="F49" s="372"/>
      <c r="G49" s="372"/>
      <c r="H49" s="372"/>
      <c r="I49" s="51" t="s">
        <v>11</v>
      </c>
    </row>
    <row r="50" spans="1:10" ht="13.5" customHeight="1">
      <c r="A50" s="372" t="s">
        <v>30</v>
      </c>
      <c r="B50" s="372"/>
      <c r="C50" s="372"/>
      <c r="D50" s="372"/>
      <c r="E50" s="372"/>
      <c r="F50" s="372"/>
      <c r="G50" s="372"/>
      <c r="H50" s="372"/>
      <c r="I50" s="372"/>
      <c r="J50" s="52"/>
    </row>
    <row r="51" spans="1:10" ht="9" customHeight="1">
      <c r="B51" s="52"/>
      <c r="C51" s="52"/>
      <c r="D51" s="52"/>
      <c r="E51" s="52"/>
      <c r="F51" s="52"/>
      <c r="G51" s="52"/>
      <c r="H51" s="52"/>
      <c r="I51" s="52"/>
      <c r="J51" s="52"/>
    </row>
    <row r="52" spans="1:10" ht="12" customHeight="1">
      <c r="B52" s="53" t="s">
        <v>31</v>
      </c>
      <c r="C52" s="15"/>
      <c r="F52" s="53" t="s">
        <v>32</v>
      </c>
      <c r="G52" s="15"/>
      <c r="H52" s="15"/>
      <c r="I52" s="15"/>
    </row>
    <row r="53" spans="1:10" ht="18.75" customHeight="1">
      <c r="B53" s="36"/>
      <c r="C53" s="36"/>
      <c r="F53" s="362"/>
      <c r="G53" s="362"/>
      <c r="H53" s="362"/>
      <c r="I53" s="362"/>
    </row>
    <row r="54" spans="1:10" ht="12" customHeight="1">
      <c r="B54" s="16" t="s">
        <v>33</v>
      </c>
      <c r="F54" s="16" t="s">
        <v>80</v>
      </c>
      <c r="I54" s="16" t="s">
        <v>46</v>
      </c>
    </row>
    <row r="55" spans="1:10" ht="12" customHeight="1">
      <c r="B55" s="373" t="s">
        <v>34</v>
      </c>
      <c r="C55" s="373"/>
      <c r="D55" s="373"/>
      <c r="E55" s="373"/>
      <c r="F55" s="373"/>
      <c r="G55" s="373"/>
      <c r="H55" s="373"/>
      <c r="I55" s="373"/>
    </row>
    <row r="56" spans="1:10" ht="18.75" customHeight="1">
      <c r="B56" s="36"/>
      <c r="C56" s="36"/>
      <c r="F56" s="362"/>
      <c r="G56" s="362"/>
      <c r="H56" s="362"/>
      <c r="I56" s="362"/>
    </row>
    <row r="57" spans="1:10" ht="13.5" customHeight="1">
      <c r="B57" s="16" t="s">
        <v>35</v>
      </c>
      <c r="F57" s="16" t="s">
        <v>79</v>
      </c>
      <c r="I57" s="16" t="s">
        <v>46</v>
      </c>
    </row>
    <row r="58" spans="1:10" ht="9.75" customHeight="1">
      <c r="C58" s="17" t="s">
        <v>36</v>
      </c>
      <c r="D58" s="17">
        <v>1</v>
      </c>
      <c r="E58" s="18" t="s">
        <v>37</v>
      </c>
      <c r="F58" s="19">
        <v>1</v>
      </c>
    </row>
    <row r="59" spans="1:10">
      <c r="C59" s="19"/>
    </row>
    <row r="60" spans="1:10" ht="15" customHeight="1">
      <c r="D60" s="17"/>
      <c r="E60" s="18"/>
      <c r="F60" s="19"/>
    </row>
  </sheetData>
  <mergeCells count="17">
    <mergeCell ref="A49:H49"/>
    <mergeCell ref="A50:I50"/>
    <mergeCell ref="F53:I53"/>
    <mergeCell ref="B55:I55"/>
    <mergeCell ref="F56:I56"/>
    <mergeCell ref="A48:I48"/>
    <mergeCell ref="B6:I6"/>
    <mergeCell ref="B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</mergeCells>
  <dataValidations count="2">
    <dataValidation type="list" allowBlank="1" showInputMessage="1" showErrorMessage="1" sqref="I49" xr:uid="{D52422D7-1430-48E4-BE9C-777DEAE4E2F8}">
      <formula1>$L$1:$L$13</formula1>
    </dataValidation>
    <dataValidation type="list" operator="greaterThanOrEqual" allowBlank="1" showInputMessage="1" showErrorMessage="1" sqref="F60 F58" xr:uid="{5A7E51AC-6F0F-4D8A-9869-B0DC1B00F940}">
      <formula1>#REF!</formula1>
    </dataValidation>
  </dataValidations>
  <printOptions horizontalCentered="1"/>
  <pageMargins left="0.25" right="0.25" top="0.25" bottom="0.25" header="0.15" footer="0.15"/>
  <pageSetup scale="96" fitToHeight="0" orientation="portrait" r:id="rId1"/>
  <headerFooter alignWithMargins="0">
    <oddFooter>&amp;LCC: Project Engineer, PW Mgmt. Asst., Finance, Contractor&amp;R&amp;D | &amp;T</oddFooter>
  </headerFooter>
  <rowBreaks count="1" manualBreakCount="1">
    <brk id="59" max="10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9E7C9-9D3C-44E9-AC72-4624E72ABCEC}">
  <sheetPr>
    <pageSetUpPr autoPageBreaks="0" fitToPage="1"/>
  </sheetPr>
  <dimension ref="A1:M60"/>
  <sheetViews>
    <sheetView showZeros="0" showOutlineSymbols="0" topLeftCell="A11" zoomScaleNormal="100" zoomScaleSheetLayoutView="100" workbookViewId="0">
      <selection activeCell="E33" sqref="E33"/>
    </sheetView>
  </sheetViews>
  <sheetFormatPr defaultColWidth="9.140625" defaultRowHeight="12.75"/>
  <cols>
    <col min="1" max="1" width="4.7109375" style="23" customWidth="1"/>
    <col min="2" max="2" width="5.7109375" style="23" customWidth="1"/>
    <col min="3" max="3" width="39.85546875" style="23" customWidth="1"/>
    <col min="4" max="4" width="4.7109375" style="23" customWidth="1"/>
    <col min="5" max="5" width="3" style="23" customWidth="1"/>
    <col min="6" max="6" width="12.7109375" style="23" customWidth="1"/>
    <col min="7" max="7" width="3" style="23" customWidth="1"/>
    <col min="8" max="8" width="12.7109375" style="23" customWidth="1"/>
    <col min="9" max="9" width="17.7109375" style="23" customWidth="1"/>
    <col min="10" max="10" width="3.7109375" style="23" customWidth="1"/>
    <col min="11" max="11" width="9.140625" style="23"/>
    <col min="12" max="12" width="11.28515625" style="23" customWidth="1"/>
    <col min="13" max="13" width="21.5703125" style="23" customWidth="1"/>
    <col min="14" max="17" width="9.140625" style="23"/>
    <col min="18" max="23" width="9.140625" style="23" customWidth="1"/>
    <col min="24" max="16384" width="9.140625" style="23"/>
  </cols>
  <sheetData>
    <row r="1" spans="2:13">
      <c r="C1" s="1"/>
      <c r="D1" s="1"/>
      <c r="E1" s="1"/>
      <c r="F1" s="1"/>
      <c r="G1" s="1"/>
      <c r="H1" s="20" t="s">
        <v>46</v>
      </c>
      <c r="I1" s="34">
        <v>45519</v>
      </c>
      <c r="J1" s="2"/>
    </row>
    <row r="3" spans="2:13">
      <c r="E3" s="28" t="s">
        <v>86</v>
      </c>
      <c r="F3" s="22">
        <f>COUNT(F10:F19,H10:H19)+1</f>
        <v>2</v>
      </c>
      <c r="G3" s="24"/>
      <c r="H3" s="3" t="s">
        <v>12</v>
      </c>
      <c r="I3" s="35">
        <f>Purchase_Order</f>
        <v>62893</v>
      </c>
    </row>
    <row r="4" spans="2:13">
      <c r="C4" s="28"/>
      <c r="D4" s="28"/>
      <c r="E4" s="28"/>
      <c r="F4" s="24"/>
      <c r="G4" s="24"/>
      <c r="H4" s="3" t="s">
        <v>13</v>
      </c>
      <c r="I4" s="21" t="s">
        <v>224</v>
      </c>
    </row>
    <row r="5" spans="2:13">
      <c r="C5" s="28"/>
      <c r="D5" s="28"/>
      <c r="E5" s="28"/>
      <c r="F5" s="24"/>
      <c r="G5" s="24"/>
      <c r="H5" s="3"/>
    </row>
    <row r="6" spans="2:13" ht="12" customHeight="1">
      <c r="B6" s="374"/>
      <c r="C6" s="375"/>
      <c r="D6" s="375"/>
      <c r="E6" s="375"/>
      <c r="F6" s="375"/>
      <c r="G6" s="375"/>
      <c r="H6" s="375"/>
      <c r="I6" s="376"/>
      <c r="J6" s="29"/>
    </row>
    <row r="7" spans="2:13" ht="15.75">
      <c r="B7" s="377" t="str">
        <f>CONCATENATE(Fiscal_Year," ",Program," (",Location,")")</f>
        <v>2023/24 Seal Coat Street Pavement Improvements (E 16th St; Glendale Ave)</v>
      </c>
      <c r="C7" s="378"/>
      <c r="D7" s="378"/>
      <c r="E7" s="378"/>
      <c r="F7" s="378"/>
      <c r="G7" s="378"/>
      <c r="H7" s="378"/>
      <c r="I7" s="379"/>
      <c r="J7" s="5"/>
    </row>
    <row r="8" spans="2:13">
      <c r="L8" s="61" t="s">
        <v>77</v>
      </c>
      <c r="M8" s="60"/>
    </row>
    <row r="9" spans="2:13">
      <c r="B9" s="23" t="s">
        <v>14</v>
      </c>
      <c r="E9" s="23" t="s">
        <v>15</v>
      </c>
      <c r="I9" s="36"/>
      <c r="L9" s="62" t="s">
        <v>76</v>
      </c>
      <c r="M9" s="24" t="s">
        <v>84</v>
      </c>
    </row>
    <row r="10" spans="2:13" ht="12.95" customHeight="1">
      <c r="B10" s="380"/>
      <c r="C10" s="381"/>
      <c r="E10" s="37">
        <v>1</v>
      </c>
      <c r="F10" s="38">
        <v>2100</v>
      </c>
      <c r="G10" s="31">
        <v>11</v>
      </c>
      <c r="H10" s="38"/>
      <c r="I10" s="6" t="s">
        <v>78</v>
      </c>
      <c r="J10" s="7"/>
      <c r="L10" s="67"/>
      <c r="M10" s="64"/>
    </row>
    <row r="11" spans="2:13" ht="12.95" customHeight="1">
      <c r="B11" s="363" t="str">
        <f>Contractor_Name</f>
        <v>Manatt's Inc</v>
      </c>
      <c r="C11" s="364"/>
      <c r="E11" s="29">
        <v>2</v>
      </c>
      <c r="F11" s="38"/>
      <c r="G11" s="23">
        <v>12</v>
      </c>
      <c r="H11" s="38"/>
      <c r="I11" s="8" t="s">
        <v>16</v>
      </c>
      <c r="J11" s="7"/>
      <c r="L11" s="68"/>
      <c r="M11" s="65"/>
    </row>
    <row r="12" spans="2:13" ht="12.95" customHeight="1">
      <c r="B12" s="365" t="s">
        <v>17</v>
      </c>
      <c r="C12" s="366"/>
      <c r="E12" s="29">
        <v>3</v>
      </c>
      <c r="F12" s="38"/>
      <c r="G12" s="23">
        <v>13</v>
      </c>
      <c r="H12" s="38"/>
      <c r="I12" s="63">
        <f>SUM(F10:F19,H10:H19)</f>
        <v>2100</v>
      </c>
      <c r="J12" s="9"/>
      <c r="L12" s="68"/>
      <c r="M12" s="65"/>
    </row>
    <row r="13" spans="2:13" ht="12.95" customHeight="1">
      <c r="B13" s="363" t="str">
        <f>Contractor_Address1</f>
        <v>2120 E 13th Street</v>
      </c>
      <c r="C13" s="364"/>
      <c r="E13" s="29">
        <v>4</v>
      </c>
      <c r="F13" s="38"/>
      <c r="G13" s="23">
        <v>14</v>
      </c>
      <c r="H13" s="38"/>
      <c r="I13" s="8" t="s">
        <v>18</v>
      </c>
      <c r="J13" s="7"/>
      <c r="L13" s="68"/>
      <c r="M13" s="65"/>
    </row>
    <row r="14" spans="2:13" ht="12.95" customHeight="1">
      <c r="B14" s="365" t="s">
        <v>19</v>
      </c>
      <c r="C14" s="366"/>
      <c r="E14" s="29">
        <v>5</v>
      </c>
      <c r="F14" s="38"/>
      <c r="G14" s="23">
        <v>15</v>
      </c>
      <c r="H14" s="38"/>
      <c r="I14" s="63">
        <f>Award_Amount</f>
        <v>1828001.36</v>
      </c>
      <c r="J14" s="10"/>
      <c r="L14" s="29"/>
      <c r="M14" s="65"/>
    </row>
    <row r="15" spans="2:13" ht="12.95" customHeight="1">
      <c r="B15" s="363" t="str">
        <f>Contractor_Address2</f>
        <v>Ames, IA 50010</v>
      </c>
      <c r="C15" s="364"/>
      <c r="E15" s="29">
        <v>6</v>
      </c>
      <c r="F15" s="38"/>
      <c r="G15" s="23">
        <v>16</v>
      </c>
      <c r="H15" s="38"/>
      <c r="I15" s="30" t="s">
        <v>21</v>
      </c>
      <c r="J15" s="11"/>
      <c r="L15" s="29"/>
      <c r="M15" s="65"/>
    </row>
    <row r="16" spans="2:13" ht="12.95" customHeight="1">
      <c r="B16" s="365" t="s">
        <v>20</v>
      </c>
      <c r="C16" s="366"/>
      <c r="E16" s="29">
        <v>7</v>
      </c>
      <c r="F16" s="38"/>
      <c r="G16" s="23">
        <v>17</v>
      </c>
      <c r="H16" s="38"/>
      <c r="I16" s="127">
        <f>I46</f>
        <v>3300</v>
      </c>
      <c r="J16" s="12"/>
      <c r="L16" s="29"/>
      <c r="M16" s="65"/>
    </row>
    <row r="17" spans="2:13" ht="12.95" customHeight="1">
      <c r="B17" s="367"/>
      <c r="C17" s="368"/>
      <c r="E17" s="29">
        <v>8</v>
      </c>
      <c r="F17" s="38"/>
      <c r="G17" s="23">
        <v>18</v>
      </c>
      <c r="H17" s="38"/>
      <c r="I17" s="55" t="s">
        <v>82</v>
      </c>
      <c r="J17" s="13"/>
      <c r="L17" s="29"/>
      <c r="M17" s="65"/>
    </row>
    <row r="18" spans="2:13">
      <c r="B18" s="369"/>
      <c r="C18" s="370"/>
      <c r="E18" s="29">
        <v>9</v>
      </c>
      <c r="F18" s="38"/>
      <c r="G18" s="23">
        <v>19</v>
      </c>
      <c r="H18" s="38"/>
      <c r="I18" s="8" t="s">
        <v>83</v>
      </c>
      <c r="J18" s="11"/>
      <c r="L18" s="29"/>
      <c r="M18" s="65"/>
    </row>
    <row r="19" spans="2:13">
      <c r="B19" s="39"/>
      <c r="C19" s="39"/>
      <c r="E19" s="29">
        <v>10</v>
      </c>
      <c r="F19" s="38"/>
      <c r="G19" s="23">
        <v>20</v>
      </c>
      <c r="H19" s="40"/>
      <c r="I19" s="63">
        <f>F20+H20+ABS(I46)-M22</f>
        <v>5400</v>
      </c>
      <c r="J19" s="11"/>
      <c r="L19" s="29"/>
      <c r="M19" s="65"/>
    </row>
    <row r="20" spans="2:13" ht="13.5" thickBot="1">
      <c r="C20" s="59" t="str">
        <f>IF(((I12+I16)/I14)&lt;0.2,IF(I19&lt;50000,IF(I19&lt;25000,"Staff Approval","Requires City Manager Approval"),"Requires City Council Approval"),"Requires City Council Approval")</f>
        <v>Staff Approval</v>
      </c>
      <c r="E20" s="29"/>
      <c r="F20" s="56">
        <f t="array" ref="F20">SUM(ABS(F10:F19))</f>
        <v>2100</v>
      </c>
      <c r="G20" s="57"/>
      <c r="H20" s="58">
        <f t="array" ref="H20">SUM(ABS(H10:H19))</f>
        <v>0</v>
      </c>
      <c r="I20" s="8" t="s">
        <v>22</v>
      </c>
      <c r="J20" s="7"/>
      <c r="L20" s="29"/>
      <c r="M20" s="65"/>
    </row>
    <row r="21" spans="2:13" ht="14.25" thickTop="1" thickBot="1">
      <c r="E21" s="41"/>
      <c r="F21" s="42"/>
      <c r="G21" s="36"/>
      <c r="H21" s="42"/>
      <c r="I21" s="128">
        <f>I16+I14+I12</f>
        <v>1833401.36</v>
      </c>
      <c r="J21" s="43"/>
      <c r="L21" s="41"/>
      <c r="M21" s="66"/>
    </row>
    <row r="22" spans="2:13" ht="13.5" thickTop="1">
      <c r="B22" s="44" t="s">
        <v>23</v>
      </c>
      <c r="L22" s="69">
        <f>MAX(L10:L21)</f>
        <v>0</v>
      </c>
      <c r="M22" s="70">
        <f>IF(ISERROR(VLOOKUP(L22,L10:M21,2,FALSE)),0,VLOOKUP(L22,L10:M21,2,FALSE))</f>
        <v>0</v>
      </c>
    </row>
    <row r="23" spans="2:13" ht="13.5" thickBot="1">
      <c r="B23" s="45" t="s">
        <v>24</v>
      </c>
      <c r="C23" s="45" t="s">
        <v>25</v>
      </c>
      <c r="D23" s="129" t="s">
        <v>26</v>
      </c>
      <c r="E23" s="130"/>
      <c r="F23" s="45" t="s">
        <v>8</v>
      </c>
      <c r="G23" s="46"/>
      <c r="H23" s="14" t="s">
        <v>7</v>
      </c>
      <c r="I23" s="14" t="s">
        <v>10</v>
      </c>
      <c r="L23" s="108" t="s">
        <v>113</v>
      </c>
    </row>
    <row r="24" spans="2:13" ht="13.5" thickTop="1">
      <c r="B24" s="251" t="s">
        <v>297</v>
      </c>
      <c r="C24" s="25" t="str">
        <f t="shared" ref="C24:C45" si="0">IF(ISERROR(VLOOKUP($B24,BIDTAB,2,FALSE)),0,VLOOKUP($B24,BIDTAB,2,FALSE))</f>
        <v xml:space="preserve">Sanitary Sewer MH - External Drop (E 16th and Maxwell) </v>
      </c>
      <c r="D24" s="131" t="str">
        <f t="shared" ref="D24:D45" si="1">IF(ISERROR(VLOOKUP($B24,BIDTAB,3,FALSE)),0,VLOOKUP($B24,BIDTAB,3,FALSE))</f>
        <v>LS</v>
      </c>
      <c r="E24" s="132"/>
      <c r="F24" s="236">
        <f t="shared" ref="F24:F45" si="2">IF(ISERROR(VLOOKUP($B24,BIDTAB,7,FALSE)),0,VLOOKUP($B24,BIDTAB,7,FALSE))</f>
        <v>3300</v>
      </c>
      <c r="G24" s="47"/>
      <c r="H24" s="48">
        <v>1</v>
      </c>
      <c r="I24" s="234">
        <f>ROUND(F24*H24,2)</f>
        <v>3300</v>
      </c>
      <c r="L24" s="23" t="s">
        <v>114</v>
      </c>
    </row>
    <row r="25" spans="2:13">
      <c r="B25" s="22"/>
      <c r="C25" s="25">
        <f t="shared" si="0"/>
        <v>0</v>
      </c>
      <c r="D25" s="131">
        <f t="shared" si="1"/>
        <v>0</v>
      </c>
      <c r="E25" s="132"/>
      <c r="F25" s="236">
        <f t="shared" si="2"/>
        <v>0</v>
      </c>
      <c r="G25" s="49"/>
      <c r="H25" s="48"/>
      <c r="I25" s="234">
        <f t="shared" ref="I25:I45" si="3">ROUND(F25*H25,2)</f>
        <v>0</v>
      </c>
      <c r="L25" s="23" t="s">
        <v>118</v>
      </c>
    </row>
    <row r="26" spans="2:13">
      <c r="B26" s="22"/>
      <c r="C26" s="25">
        <f t="shared" si="0"/>
        <v>0</v>
      </c>
      <c r="D26" s="131">
        <f t="shared" si="1"/>
        <v>0</v>
      </c>
      <c r="E26" s="132"/>
      <c r="F26" s="236">
        <f t="shared" si="2"/>
        <v>0</v>
      </c>
      <c r="G26" s="49"/>
      <c r="H26" s="48"/>
      <c r="I26" s="234">
        <f t="shared" si="3"/>
        <v>0</v>
      </c>
    </row>
    <row r="27" spans="2:13">
      <c r="B27" s="22"/>
      <c r="C27" s="25">
        <f t="shared" si="0"/>
        <v>0</v>
      </c>
      <c r="D27" s="131">
        <f t="shared" si="1"/>
        <v>0</v>
      </c>
      <c r="E27" s="132"/>
      <c r="F27" s="236">
        <f t="shared" si="2"/>
        <v>0</v>
      </c>
      <c r="G27" s="49"/>
      <c r="H27" s="48"/>
      <c r="I27" s="234">
        <f t="shared" si="3"/>
        <v>0</v>
      </c>
    </row>
    <row r="28" spans="2:13">
      <c r="B28" s="22"/>
      <c r="C28" s="25">
        <f t="shared" si="0"/>
        <v>0</v>
      </c>
      <c r="D28" s="131">
        <f t="shared" si="1"/>
        <v>0</v>
      </c>
      <c r="E28" s="132"/>
      <c r="F28" s="236">
        <f t="shared" si="2"/>
        <v>0</v>
      </c>
      <c r="G28" s="49"/>
      <c r="H28" s="48"/>
      <c r="I28" s="234">
        <f t="shared" si="3"/>
        <v>0</v>
      </c>
    </row>
    <row r="29" spans="2:13">
      <c r="B29" s="22"/>
      <c r="C29" s="25">
        <f t="shared" si="0"/>
        <v>0</v>
      </c>
      <c r="D29" s="131">
        <f t="shared" si="1"/>
        <v>0</v>
      </c>
      <c r="E29" s="132"/>
      <c r="F29" s="236">
        <f t="shared" si="2"/>
        <v>0</v>
      </c>
      <c r="G29" s="49"/>
      <c r="H29" s="48"/>
      <c r="I29" s="234">
        <f t="shared" si="3"/>
        <v>0</v>
      </c>
    </row>
    <row r="30" spans="2:13">
      <c r="B30" s="22"/>
      <c r="C30" s="25">
        <f t="shared" si="0"/>
        <v>0</v>
      </c>
      <c r="D30" s="131">
        <f t="shared" si="1"/>
        <v>0</v>
      </c>
      <c r="E30" s="132"/>
      <c r="F30" s="236">
        <f t="shared" si="2"/>
        <v>0</v>
      </c>
      <c r="G30" s="49"/>
      <c r="H30" s="48"/>
      <c r="I30" s="234">
        <f t="shared" si="3"/>
        <v>0</v>
      </c>
    </row>
    <row r="31" spans="2:13">
      <c r="B31" s="22"/>
      <c r="C31" s="25">
        <f t="shared" si="0"/>
        <v>0</v>
      </c>
      <c r="D31" s="131">
        <f t="shared" si="1"/>
        <v>0</v>
      </c>
      <c r="E31" s="132"/>
      <c r="F31" s="236">
        <f t="shared" si="2"/>
        <v>0</v>
      </c>
      <c r="G31" s="49"/>
      <c r="H31" s="48"/>
      <c r="I31" s="234">
        <f t="shared" si="3"/>
        <v>0</v>
      </c>
    </row>
    <row r="32" spans="2:13">
      <c r="B32" s="22"/>
      <c r="C32" s="25">
        <f t="shared" si="0"/>
        <v>0</v>
      </c>
      <c r="D32" s="131">
        <f t="shared" si="1"/>
        <v>0</v>
      </c>
      <c r="E32" s="132"/>
      <c r="F32" s="236">
        <f t="shared" si="2"/>
        <v>0</v>
      </c>
      <c r="G32" s="49"/>
      <c r="H32" s="48"/>
      <c r="I32" s="234">
        <f t="shared" si="3"/>
        <v>0</v>
      </c>
    </row>
    <row r="33" spans="1:13">
      <c r="B33" s="22"/>
      <c r="C33" s="25">
        <f t="shared" si="0"/>
        <v>0</v>
      </c>
      <c r="D33" s="131">
        <f t="shared" si="1"/>
        <v>0</v>
      </c>
      <c r="E33" s="132"/>
      <c r="F33" s="236">
        <f t="shared" si="2"/>
        <v>0</v>
      </c>
      <c r="G33" s="49"/>
      <c r="H33" s="48"/>
      <c r="I33" s="234">
        <f t="shared" si="3"/>
        <v>0</v>
      </c>
    </row>
    <row r="34" spans="1:13">
      <c r="B34" s="22"/>
      <c r="C34" s="25">
        <f t="shared" si="0"/>
        <v>0</v>
      </c>
      <c r="D34" s="131">
        <f t="shared" si="1"/>
        <v>0</v>
      </c>
      <c r="E34" s="132"/>
      <c r="F34" s="236">
        <f t="shared" si="2"/>
        <v>0</v>
      </c>
      <c r="G34" s="49"/>
      <c r="H34" s="48"/>
      <c r="I34" s="234">
        <f t="shared" si="3"/>
        <v>0</v>
      </c>
    </row>
    <row r="35" spans="1:13">
      <c r="B35" s="22"/>
      <c r="C35" s="25">
        <f t="shared" si="0"/>
        <v>0</v>
      </c>
      <c r="D35" s="131">
        <f t="shared" si="1"/>
        <v>0</v>
      </c>
      <c r="E35" s="132"/>
      <c r="F35" s="236">
        <f t="shared" si="2"/>
        <v>0</v>
      </c>
      <c r="G35" s="49"/>
      <c r="H35" s="48"/>
      <c r="I35" s="234">
        <f t="shared" si="3"/>
        <v>0</v>
      </c>
    </row>
    <row r="36" spans="1:13">
      <c r="B36" s="22"/>
      <c r="C36" s="25">
        <f t="shared" si="0"/>
        <v>0</v>
      </c>
      <c r="D36" s="131">
        <f t="shared" si="1"/>
        <v>0</v>
      </c>
      <c r="E36" s="132"/>
      <c r="F36" s="236">
        <f t="shared" si="2"/>
        <v>0</v>
      </c>
      <c r="G36" s="49"/>
      <c r="H36" s="48"/>
      <c r="I36" s="234">
        <f t="shared" si="3"/>
        <v>0</v>
      </c>
    </row>
    <row r="37" spans="1:13">
      <c r="B37" s="22"/>
      <c r="C37" s="25">
        <f t="shared" si="0"/>
        <v>0</v>
      </c>
      <c r="D37" s="131">
        <f t="shared" si="1"/>
        <v>0</v>
      </c>
      <c r="E37" s="132"/>
      <c r="F37" s="236">
        <f t="shared" si="2"/>
        <v>0</v>
      </c>
      <c r="G37" s="49"/>
      <c r="H37" s="48"/>
      <c r="I37" s="234">
        <f t="shared" si="3"/>
        <v>0</v>
      </c>
    </row>
    <row r="38" spans="1:13">
      <c r="B38" s="22"/>
      <c r="C38" s="25">
        <f t="shared" si="0"/>
        <v>0</v>
      </c>
      <c r="D38" s="131">
        <f t="shared" si="1"/>
        <v>0</v>
      </c>
      <c r="E38" s="132"/>
      <c r="F38" s="236">
        <f t="shared" si="2"/>
        <v>0</v>
      </c>
      <c r="G38" s="49"/>
      <c r="H38" s="48"/>
      <c r="I38" s="234">
        <f t="shared" si="3"/>
        <v>0</v>
      </c>
    </row>
    <row r="39" spans="1:13">
      <c r="B39" s="22"/>
      <c r="C39" s="25">
        <f t="shared" si="0"/>
        <v>0</v>
      </c>
      <c r="D39" s="131">
        <f t="shared" si="1"/>
        <v>0</v>
      </c>
      <c r="E39" s="132"/>
      <c r="F39" s="236">
        <f t="shared" si="2"/>
        <v>0</v>
      </c>
      <c r="G39" s="49"/>
      <c r="H39" s="48"/>
      <c r="I39" s="234">
        <f t="shared" si="3"/>
        <v>0</v>
      </c>
    </row>
    <row r="40" spans="1:13">
      <c r="B40" s="22"/>
      <c r="C40" s="25">
        <f t="shared" si="0"/>
        <v>0</v>
      </c>
      <c r="D40" s="131">
        <f t="shared" si="1"/>
        <v>0</v>
      </c>
      <c r="E40" s="132"/>
      <c r="F40" s="236">
        <f t="shared" si="2"/>
        <v>0</v>
      </c>
      <c r="G40" s="49"/>
      <c r="H40" s="48"/>
      <c r="I40" s="234">
        <f t="shared" si="3"/>
        <v>0</v>
      </c>
    </row>
    <row r="41" spans="1:13">
      <c r="B41" s="22"/>
      <c r="C41" s="25">
        <f t="shared" si="0"/>
        <v>0</v>
      </c>
      <c r="D41" s="131">
        <f t="shared" si="1"/>
        <v>0</v>
      </c>
      <c r="E41" s="132"/>
      <c r="F41" s="236">
        <f t="shared" si="2"/>
        <v>0</v>
      </c>
      <c r="G41" s="49"/>
      <c r="H41" s="48"/>
      <c r="I41" s="234">
        <f t="shared" si="3"/>
        <v>0</v>
      </c>
    </row>
    <row r="42" spans="1:13">
      <c r="B42" s="22"/>
      <c r="C42" s="25">
        <f t="shared" si="0"/>
        <v>0</v>
      </c>
      <c r="D42" s="131">
        <f t="shared" si="1"/>
        <v>0</v>
      </c>
      <c r="E42" s="132"/>
      <c r="F42" s="236">
        <f t="shared" si="2"/>
        <v>0</v>
      </c>
      <c r="G42" s="49"/>
      <c r="H42" s="48"/>
      <c r="I42" s="234">
        <f t="shared" si="3"/>
        <v>0</v>
      </c>
    </row>
    <row r="43" spans="1:13">
      <c r="B43" s="22"/>
      <c r="C43" s="25">
        <f t="shared" si="0"/>
        <v>0</v>
      </c>
      <c r="D43" s="131">
        <f t="shared" si="1"/>
        <v>0</v>
      </c>
      <c r="E43" s="132"/>
      <c r="F43" s="236">
        <f t="shared" si="2"/>
        <v>0</v>
      </c>
      <c r="G43" s="49"/>
      <c r="H43" s="48"/>
      <c r="I43" s="234">
        <f t="shared" si="3"/>
        <v>0</v>
      </c>
    </row>
    <row r="44" spans="1:13">
      <c r="B44" s="22"/>
      <c r="C44" s="25">
        <f t="shared" si="0"/>
        <v>0</v>
      </c>
      <c r="D44" s="131">
        <f t="shared" si="1"/>
        <v>0</v>
      </c>
      <c r="E44" s="132"/>
      <c r="F44" s="236">
        <f t="shared" si="2"/>
        <v>0</v>
      </c>
      <c r="G44" s="49"/>
      <c r="H44" s="48"/>
      <c r="I44" s="234">
        <f t="shared" si="3"/>
        <v>0</v>
      </c>
    </row>
    <row r="45" spans="1:13">
      <c r="B45" s="90"/>
      <c r="C45" s="25">
        <f t="shared" si="0"/>
        <v>0</v>
      </c>
      <c r="D45" s="131">
        <f t="shared" si="1"/>
        <v>0</v>
      </c>
      <c r="E45" s="132"/>
      <c r="F45" s="236">
        <f t="shared" si="2"/>
        <v>0</v>
      </c>
      <c r="G45" s="49"/>
      <c r="H45" s="48"/>
      <c r="I45" s="234">
        <f t="shared" si="3"/>
        <v>0</v>
      </c>
    </row>
    <row r="46" spans="1:13" ht="12.75" customHeight="1" thickBot="1">
      <c r="D46" s="31"/>
      <c r="E46" s="31"/>
      <c r="F46" s="32" t="s">
        <v>27</v>
      </c>
      <c r="G46" s="33"/>
      <c r="H46" s="26" t="s">
        <v>81</v>
      </c>
      <c r="I46" s="235">
        <f>SUM(I24:I45)</f>
        <v>3300</v>
      </c>
      <c r="L46" s="54"/>
      <c r="M46" s="27"/>
    </row>
    <row r="47" spans="1:13" ht="14.25" customHeight="1" thickTop="1">
      <c r="C47" s="15"/>
      <c r="D47" s="15"/>
      <c r="E47" s="15"/>
      <c r="F47" s="15"/>
      <c r="G47" s="15"/>
      <c r="H47" s="20"/>
    </row>
    <row r="48" spans="1:13" ht="13.5" customHeight="1">
      <c r="A48" s="371" t="s">
        <v>28</v>
      </c>
      <c r="B48" s="371"/>
      <c r="C48" s="371"/>
      <c r="D48" s="371"/>
      <c r="E48" s="371"/>
      <c r="F48" s="371"/>
      <c r="G48" s="371"/>
      <c r="H48" s="371"/>
      <c r="I48" s="371"/>
      <c r="J48" s="50"/>
    </row>
    <row r="49" spans="1:10" ht="14.1" customHeight="1">
      <c r="A49" s="372" t="s">
        <v>29</v>
      </c>
      <c r="B49" s="372"/>
      <c r="C49" s="372"/>
      <c r="D49" s="372"/>
      <c r="E49" s="372"/>
      <c r="F49" s="372"/>
      <c r="G49" s="372"/>
      <c r="H49" s="372"/>
      <c r="I49" s="51" t="s">
        <v>11</v>
      </c>
    </row>
    <row r="50" spans="1:10" ht="13.5" customHeight="1">
      <c r="A50" s="372" t="s">
        <v>30</v>
      </c>
      <c r="B50" s="372"/>
      <c r="C50" s="372"/>
      <c r="D50" s="372"/>
      <c r="E50" s="372"/>
      <c r="F50" s="372"/>
      <c r="G50" s="372"/>
      <c r="H50" s="372"/>
      <c r="I50" s="372"/>
      <c r="J50" s="52"/>
    </row>
    <row r="51" spans="1:10" ht="9" customHeight="1">
      <c r="B51" s="52"/>
      <c r="C51" s="52"/>
      <c r="D51" s="52"/>
      <c r="E51" s="52"/>
      <c r="F51" s="52"/>
      <c r="G51" s="52"/>
      <c r="H51" s="52"/>
      <c r="I51" s="52"/>
      <c r="J51" s="52"/>
    </row>
    <row r="52" spans="1:10" ht="12" customHeight="1">
      <c r="B52" s="53" t="s">
        <v>31</v>
      </c>
      <c r="C52" s="15"/>
      <c r="F52" s="53" t="s">
        <v>32</v>
      </c>
      <c r="G52" s="15"/>
      <c r="H52" s="15"/>
      <c r="I52" s="15"/>
    </row>
    <row r="53" spans="1:10" ht="18.75" customHeight="1">
      <c r="B53" s="36"/>
      <c r="C53" s="36"/>
      <c r="F53" s="362"/>
      <c r="G53" s="362"/>
      <c r="H53" s="362"/>
      <c r="I53" s="362"/>
    </row>
    <row r="54" spans="1:10" ht="12" customHeight="1">
      <c r="B54" s="16" t="s">
        <v>33</v>
      </c>
      <c r="F54" s="16" t="s">
        <v>80</v>
      </c>
      <c r="I54" s="16" t="s">
        <v>46</v>
      </c>
    </row>
    <row r="55" spans="1:10" ht="12" customHeight="1">
      <c r="B55" s="373" t="s">
        <v>34</v>
      </c>
      <c r="C55" s="373"/>
      <c r="D55" s="373"/>
      <c r="E55" s="373"/>
      <c r="F55" s="373"/>
      <c r="G55" s="373"/>
      <c r="H55" s="373"/>
      <c r="I55" s="373"/>
    </row>
    <row r="56" spans="1:10" ht="18.75" customHeight="1">
      <c r="B56" s="36"/>
      <c r="C56" s="36"/>
      <c r="F56" s="362"/>
      <c r="G56" s="362"/>
      <c r="H56" s="362"/>
      <c r="I56" s="362"/>
    </row>
    <row r="57" spans="1:10" ht="13.5" customHeight="1">
      <c r="B57" s="16" t="s">
        <v>35</v>
      </c>
      <c r="F57" s="16" t="s">
        <v>79</v>
      </c>
      <c r="I57" s="16" t="s">
        <v>46</v>
      </c>
    </row>
    <row r="58" spans="1:10" ht="9.75" customHeight="1">
      <c r="C58" s="17" t="s">
        <v>36</v>
      </c>
      <c r="D58" s="17">
        <v>1</v>
      </c>
      <c r="E58" s="18" t="s">
        <v>37</v>
      </c>
      <c r="F58" s="19">
        <v>1</v>
      </c>
    </row>
    <row r="59" spans="1:10">
      <c r="C59" s="19"/>
    </row>
    <row r="60" spans="1:10" ht="15" customHeight="1">
      <c r="D60" s="17"/>
      <c r="E60" s="18"/>
      <c r="F60" s="19"/>
    </row>
  </sheetData>
  <mergeCells count="17">
    <mergeCell ref="A49:H49"/>
    <mergeCell ref="A50:I50"/>
    <mergeCell ref="F53:I53"/>
    <mergeCell ref="B55:I55"/>
    <mergeCell ref="F56:I56"/>
    <mergeCell ref="A48:I48"/>
    <mergeCell ref="B6:I6"/>
    <mergeCell ref="B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</mergeCells>
  <dataValidations count="2">
    <dataValidation type="list" allowBlank="1" showInputMessage="1" showErrorMessage="1" sqref="I49" xr:uid="{C8E4A9EA-F65F-4A36-8EDD-4C4FAEFB730C}">
      <formula1>$L$1:$L$13</formula1>
    </dataValidation>
    <dataValidation type="list" operator="greaterThanOrEqual" allowBlank="1" showInputMessage="1" showErrorMessage="1" sqref="F60 F58" xr:uid="{DF061421-B13C-4123-A30F-8AF00D08364B}">
      <formula1>#REF!</formula1>
    </dataValidation>
  </dataValidations>
  <printOptions horizontalCentered="1"/>
  <pageMargins left="0.25" right="0.25" top="0.25" bottom="0.25" header="0.15" footer="0.15"/>
  <pageSetup scale="96" fitToHeight="0" orientation="portrait" r:id="rId1"/>
  <headerFooter alignWithMargins="0">
    <oddFooter>&amp;LCC: Project Engineer, PW Mgmt. Asst., Finance, Contractor&amp;R&amp;D | &amp;T</oddFooter>
  </headerFooter>
  <rowBreaks count="1" manualBreakCount="1">
    <brk id="59" max="10" man="1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 fitToPage="1"/>
  </sheetPr>
  <dimension ref="A1:R150"/>
  <sheetViews>
    <sheetView showOutlineSymbols="0" topLeftCell="A41" zoomScale="80" zoomScaleNormal="80" zoomScaleSheetLayoutView="100" workbookViewId="0">
      <selection activeCell="Q9" sqref="Q9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13" width="13.710937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6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6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6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6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COUNT(O24:O30)+1</f>
        <v>1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6">
      <c r="A5" s="137"/>
      <c r="B5" s="137"/>
      <c r="C5" s="143" t="str">
        <f>Contractor_Address2</f>
        <v>Ames, IA 50010</v>
      </c>
      <c r="F5" s="138" t="s">
        <v>46</v>
      </c>
      <c r="G5" s="146">
        <v>45383</v>
      </c>
      <c r="I5" s="147"/>
      <c r="J5" s="148"/>
      <c r="L5" s="141"/>
      <c r="M5" s="141" t="s">
        <v>47</v>
      </c>
      <c r="N5" s="139"/>
      <c r="O5" s="145">
        <f>SUM(O4+O19)</f>
        <v>1828001.36</v>
      </c>
      <c r="P5" s="137"/>
    </row>
    <row r="6" spans="1:16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6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6" hidden="1">
      <c r="A8" s="256"/>
      <c r="B8" s="23" t="e">
        <f t="shared" ref="B8:B39" si="0">VLOOKUP($A8,BIDTAB,2,FALSE)</f>
        <v>#N/A</v>
      </c>
      <c r="C8" s="137"/>
      <c r="D8" s="24" t="e">
        <f t="shared" ref="D8:D39" si="1">VLOOKUP($A8,BIDTAB,3,FALSE)</f>
        <v>#N/A</v>
      </c>
      <c r="E8" s="231" t="e">
        <f t="shared" ref="E8:E39" si="2">VLOOKUP($A8,BIDTAB,7,FALSE)</f>
        <v>#N/A</v>
      </c>
      <c r="F8" s="223" t="e">
        <f t="shared" ref="F8:F39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1" si="4">IF(ISERROR(F8*E8),0,F8*E8)</f>
        <v>0</v>
      </c>
      <c r="K8" s="162">
        <f t="shared" ref="K8:K71" si="5">IF(ISERROR(G8*E8),0,G8*E8)</f>
        <v>0</v>
      </c>
      <c r="L8" s="162">
        <f t="shared" ref="L8:L71" si="6">IF(ISERROR(H8*E8),0,H8*E8)</f>
        <v>0</v>
      </c>
      <c r="M8" s="162">
        <f>SUM(J8:K8)-L8</f>
        <v>0</v>
      </c>
      <c r="N8" s="163" t="s">
        <v>53</v>
      </c>
      <c r="O8" s="164"/>
      <c r="P8" s="165"/>
    </row>
    <row r="9" spans="1:16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/>
      <c r="I9" s="167">
        <f t="shared" ref="I9:I72" si="7">IF(ISBLANK(G9),F9,F9+G9)-H9</f>
        <v>991.3</v>
      </c>
      <c r="J9" s="162">
        <f t="shared" si="4"/>
        <v>27756.399999999998</v>
      </c>
      <c r="K9" s="162">
        <f t="shared" si="5"/>
        <v>0</v>
      </c>
      <c r="L9" s="162">
        <f t="shared" si="6"/>
        <v>0</v>
      </c>
      <c r="M9" s="162">
        <f t="shared" ref="M9:M72" si="8">SUM(J9:K9)-L9</f>
        <v>27756.399999999998</v>
      </c>
      <c r="N9" s="350"/>
      <c r="O9" s="351"/>
      <c r="P9" s="165"/>
    </row>
    <row r="10" spans="1:16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/>
      <c r="I10" s="167">
        <f t="shared" si="7"/>
        <v>3053.5</v>
      </c>
      <c r="J10" s="162">
        <f t="shared" si="4"/>
        <v>61070</v>
      </c>
      <c r="K10" s="162">
        <f t="shared" si="5"/>
        <v>0</v>
      </c>
      <c r="L10" s="162">
        <f t="shared" si="6"/>
        <v>0</v>
      </c>
      <c r="M10" s="162">
        <f t="shared" si="8"/>
        <v>61070</v>
      </c>
      <c r="N10" s="348">
        <v>1</v>
      </c>
      <c r="O10" s="349"/>
      <c r="P10" s="165"/>
    </row>
    <row r="11" spans="1:16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/>
      <c r="I11" s="167">
        <f t="shared" si="7"/>
        <v>11990</v>
      </c>
      <c r="J11" s="162">
        <f t="shared" si="4"/>
        <v>38967.5</v>
      </c>
      <c r="K11" s="162">
        <f t="shared" si="5"/>
        <v>0</v>
      </c>
      <c r="L11" s="162">
        <f t="shared" si="6"/>
        <v>0</v>
      </c>
      <c r="M11" s="162">
        <f t="shared" si="8"/>
        <v>38967.5</v>
      </c>
      <c r="N11" s="171">
        <v>2</v>
      </c>
      <c r="O11" s="238"/>
      <c r="P11" s="165"/>
    </row>
    <row r="12" spans="1:16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/>
      <c r="I12" s="167">
        <f t="shared" si="7"/>
        <v>11990</v>
      </c>
      <c r="J12" s="162">
        <f t="shared" si="4"/>
        <v>107910</v>
      </c>
      <c r="K12" s="162">
        <f t="shared" si="5"/>
        <v>0</v>
      </c>
      <c r="L12" s="162">
        <f t="shared" si="6"/>
        <v>0</v>
      </c>
      <c r="M12" s="162">
        <f t="shared" si="8"/>
        <v>107910</v>
      </c>
      <c r="N12" s="171">
        <v>3</v>
      </c>
      <c r="O12" s="238"/>
      <c r="P12" s="165"/>
    </row>
    <row r="13" spans="1:16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</row>
    <row r="14" spans="1:16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236</v>
      </c>
      <c r="I14" s="305">
        <f t="shared" si="7"/>
        <v>342</v>
      </c>
      <c r="J14" s="306">
        <f t="shared" si="4"/>
        <v>42483</v>
      </c>
      <c r="K14" s="306">
        <f t="shared" si="5"/>
        <v>0</v>
      </c>
      <c r="L14" s="306">
        <f t="shared" si="6"/>
        <v>17346</v>
      </c>
      <c r="M14" s="306">
        <f t="shared" si="8"/>
        <v>25137</v>
      </c>
      <c r="N14" s="171">
        <v>5</v>
      </c>
      <c r="O14" s="238"/>
      <c r="P14" s="165"/>
    </row>
    <row r="15" spans="1:16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10</v>
      </c>
      <c r="I15" s="305">
        <f t="shared" si="7"/>
        <v>2</v>
      </c>
      <c r="J15" s="306">
        <f t="shared" si="4"/>
        <v>25200</v>
      </c>
      <c r="K15" s="306">
        <f t="shared" si="5"/>
        <v>0</v>
      </c>
      <c r="L15" s="306">
        <f t="shared" si="6"/>
        <v>21000</v>
      </c>
      <c r="M15" s="306">
        <f t="shared" si="8"/>
        <v>4200</v>
      </c>
      <c r="N15" s="171">
        <v>6</v>
      </c>
      <c r="O15" s="238"/>
      <c r="P15" s="165"/>
    </row>
    <row r="16" spans="1:16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263</v>
      </c>
      <c r="I16" s="305">
        <f t="shared" si="7"/>
        <v>315</v>
      </c>
      <c r="J16" s="306">
        <f t="shared" si="4"/>
        <v>12138</v>
      </c>
      <c r="K16" s="306">
        <f t="shared" si="5"/>
        <v>0</v>
      </c>
      <c r="L16" s="306">
        <f t="shared" si="6"/>
        <v>5523</v>
      </c>
      <c r="M16" s="306">
        <f t="shared" si="8"/>
        <v>6615</v>
      </c>
      <c r="N16" s="171">
        <v>7</v>
      </c>
      <c r="O16" s="238"/>
      <c r="P16" s="165"/>
    </row>
    <row r="17" spans="1:16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/>
      <c r="I17" s="167">
        <f t="shared" si="7"/>
        <v>526</v>
      </c>
      <c r="J17" s="162">
        <f t="shared" si="4"/>
        <v>38661</v>
      </c>
      <c r="K17" s="162">
        <f t="shared" si="5"/>
        <v>0</v>
      </c>
      <c r="L17" s="162">
        <f t="shared" si="6"/>
        <v>0</v>
      </c>
      <c r="M17" s="162">
        <f t="shared" si="8"/>
        <v>38661</v>
      </c>
      <c r="N17" s="171">
        <v>8</v>
      </c>
      <c r="O17" s="238"/>
      <c r="P17" s="165"/>
    </row>
    <row r="18" spans="1:16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/>
      <c r="I18" s="167">
        <f t="shared" si="7"/>
        <v>526</v>
      </c>
      <c r="J18" s="162">
        <f t="shared" si="4"/>
        <v>11046</v>
      </c>
      <c r="K18" s="162">
        <f t="shared" si="5"/>
        <v>0</v>
      </c>
      <c r="L18" s="162">
        <f t="shared" si="6"/>
        <v>0</v>
      </c>
      <c r="M18" s="162">
        <f t="shared" si="8"/>
        <v>11046</v>
      </c>
      <c r="N18" s="172"/>
      <c r="O18" s="239" t="s">
        <v>10</v>
      </c>
      <c r="P18" s="165"/>
    </row>
    <row r="19" spans="1:16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/>
      <c r="I19" s="167">
        <f t="shared" si="7"/>
        <v>200</v>
      </c>
      <c r="J19" s="162">
        <f t="shared" si="4"/>
        <v>5100</v>
      </c>
      <c r="K19" s="162">
        <f t="shared" si="5"/>
        <v>0</v>
      </c>
      <c r="L19" s="162">
        <f t="shared" si="6"/>
        <v>0</v>
      </c>
      <c r="M19" s="162">
        <f t="shared" si="8"/>
        <v>5100</v>
      </c>
      <c r="N19" s="173"/>
      <c r="O19" s="240">
        <f>SUM(O10:O17)</f>
        <v>0</v>
      </c>
      <c r="P19" s="165"/>
    </row>
    <row r="20" spans="1:16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/>
      <c r="I20" s="167">
        <f t="shared" si="7"/>
        <v>1</v>
      </c>
      <c r="J20" s="162">
        <f t="shared" si="4"/>
        <v>850</v>
      </c>
      <c r="K20" s="162">
        <f t="shared" si="5"/>
        <v>0</v>
      </c>
      <c r="L20" s="162">
        <f t="shared" si="6"/>
        <v>0</v>
      </c>
      <c r="M20" s="162">
        <f t="shared" si="8"/>
        <v>850</v>
      </c>
      <c r="N20" s="174"/>
      <c r="O20" s="241"/>
      <c r="P20" s="165"/>
    </row>
    <row r="21" spans="1:16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/>
      <c r="I21" s="167">
        <f t="shared" si="7"/>
        <v>1</v>
      </c>
      <c r="J21" s="162">
        <f t="shared" si="4"/>
        <v>600</v>
      </c>
      <c r="K21" s="162">
        <f t="shared" si="5"/>
        <v>0</v>
      </c>
      <c r="L21" s="162">
        <f t="shared" si="6"/>
        <v>0</v>
      </c>
      <c r="M21" s="162">
        <f t="shared" si="8"/>
        <v>600</v>
      </c>
      <c r="N21" s="175" t="s">
        <v>54</v>
      </c>
      <c r="O21" s="242"/>
      <c r="P21" s="165"/>
    </row>
    <row r="22" spans="1:16">
      <c r="A22" s="256"/>
      <c r="B22" s="23" t="e">
        <f t="shared" si="0"/>
        <v>#N/A</v>
      </c>
      <c r="C22" s="137"/>
      <c r="D22" s="24" t="e">
        <f t="shared" si="1"/>
        <v>#N/A</v>
      </c>
      <c r="E22" s="231" t="e">
        <f t="shared" si="2"/>
        <v>#N/A</v>
      </c>
      <c r="F22" s="225" t="e">
        <f t="shared" si="3"/>
        <v>#N/A</v>
      </c>
      <c r="G22" s="226"/>
      <c r="H22" s="226"/>
      <c r="I22" s="167" t="e">
        <f t="shared" si="7"/>
        <v>#N/A</v>
      </c>
      <c r="J22" s="162">
        <f t="shared" si="4"/>
        <v>0</v>
      </c>
      <c r="K22" s="162">
        <f t="shared" si="5"/>
        <v>0</v>
      </c>
      <c r="L22" s="162">
        <f t="shared" si="6"/>
        <v>0</v>
      </c>
      <c r="M22" s="162">
        <f t="shared" si="8"/>
        <v>0</v>
      </c>
      <c r="N22" s="175" t="s">
        <v>55</v>
      </c>
      <c r="O22" s="242"/>
      <c r="P22" s="165"/>
    </row>
    <row r="23" spans="1:16">
      <c r="A23" s="288" t="s">
        <v>235</v>
      </c>
      <c r="B23" s="289" t="str">
        <f t="shared" si="0"/>
        <v>Water Main, Trenched, PVC, 8" dia.</v>
      </c>
      <c r="C23" s="290"/>
      <c r="D23" s="291" t="str">
        <f t="shared" si="1"/>
        <v>lf</v>
      </c>
      <c r="E23" s="292">
        <f t="shared" si="2"/>
        <v>42</v>
      </c>
      <c r="F23" s="293">
        <f t="shared" si="3"/>
        <v>65</v>
      </c>
      <c r="G23" s="294"/>
      <c r="H23" s="294"/>
      <c r="I23" s="295">
        <f t="shared" si="7"/>
        <v>65</v>
      </c>
      <c r="J23" s="296">
        <f t="shared" si="4"/>
        <v>2730</v>
      </c>
      <c r="K23" s="296">
        <f t="shared" si="5"/>
        <v>0</v>
      </c>
      <c r="L23" s="296">
        <f t="shared" si="6"/>
        <v>0</v>
      </c>
      <c r="M23" s="296">
        <f t="shared" si="8"/>
        <v>2730</v>
      </c>
      <c r="N23" s="174"/>
      <c r="O23" s="241"/>
      <c r="P23" s="165"/>
    </row>
    <row r="24" spans="1:16">
      <c r="A24" s="288" t="s">
        <v>236</v>
      </c>
      <c r="B24" s="289" t="str">
        <f t="shared" si="0"/>
        <v>Water Main, Trenched, DIP, 8" dia.</v>
      </c>
      <c r="C24" s="290"/>
      <c r="D24" s="291" t="str">
        <f t="shared" si="1"/>
        <v>lf</v>
      </c>
      <c r="E24" s="292">
        <f t="shared" si="2"/>
        <v>105</v>
      </c>
      <c r="F24" s="293">
        <f t="shared" si="3"/>
        <v>35</v>
      </c>
      <c r="G24" s="294"/>
      <c r="H24" s="294"/>
      <c r="I24" s="295">
        <f t="shared" si="7"/>
        <v>35</v>
      </c>
      <c r="J24" s="296">
        <f t="shared" si="4"/>
        <v>3675</v>
      </c>
      <c r="K24" s="296">
        <f t="shared" si="5"/>
        <v>0</v>
      </c>
      <c r="L24" s="296">
        <f t="shared" si="6"/>
        <v>0</v>
      </c>
      <c r="M24" s="296">
        <f t="shared" si="8"/>
        <v>3675</v>
      </c>
      <c r="N24" s="170">
        <v>1</v>
      </c>
      <c r="O24" s="241"/>
      <c r="P24" s="165"/>
    </row>
    <row r="25" spans="1:16">
      <c r="A25" s="288" t="s">
        <v>237</v>
      </c>
      <c r="B25" s="289" t="str">
        <f t="shared" si="0"/>
        <v>Water Main, Trenched, DIP, 6"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24</v>
      </c>
      <c r="G25" s="294"/>
      <c r="H25" s="294"/>
      <c r="I25" s="295">
        <f t="shared" si="7"/>
        <v>24</v>
      </c>
      <c r="J25" s="296">
        <f t="shared" si="4"/>
        <v>2520</v>
      </c>
      <c r="K25" s="296">
        <f t="shared" si="5"/>
        <v>0</v>
      </c>
      <c r="L25" s="296">
        <f t="shared" si="6"/>
        <v>0</v>
      </c>
      <c r="M25" s="296">
        <f t="shared" si="8"/>
        <v>2520</v>
      </c>
      <c r="N25" s="171">
        <v>2</v>
      </c>
      <c r="O25" s="239"/>
      <c r="P25" s="165"/>
    </row>
    <row r="26" spans="1:16">
      <c r="A26" s="288" t="s">
        <v>238</v>
      </c>
      <c r="B26" s="289" t="str">
        <f t="shared" si="0"/>
        <v>Water Main, Trenchless, PVC, 8" dia.</v>
      </c>
      <c r="C26" s="290"/>
      <c r="D26" s="291" t="str">
        <f t="shared" si="1"/>
        <v>lf</v>
      </c>
      <c r="E26" s="292">
        <f t="shared" si="2"/>
        <v>136.5</v>
      </c>
      <c r="F26" s="293">
        <f t="shared" si="3"/>
        <v>1072</v>
      </c>
      <c r="G26" s="294"/>
      <c r="H26" s="294"/>
      <c r="I26" s="295">
        <f t="shared" si="7"/>
        <v>1072</v>
      </c>
      <c r="J26" s="296">
        <f t="shared" si="4"/>
        <v>146328</v>
      </c>
      <c r="K26" s="296">
        <f t="shared" si="5"/>
        <v>0</v>
      </c>
      <c r="L26" s="296">
        <f t="shared" si="6"/>
        <v>0</v>
      </c>
      <c r="M26" s="296">
        <f t="shared" si="8"/>
        <v>146328</v>
      </c>
      <c r="N26" s="171">
        <v>3</v>
      </c>
      <c r="O26" s="238"/>
      <c r="P26" s="165"/>
    </row>
    <row r="27" spans="1:16">
      <c r="A27" s="288" t="s">
        <v>234</v>
      </c>
      <c r="B27" s="289" t="str">
        <f t="shared" si="0"/>
        <v>Water Main, Trenchless, DIP, 8" dia.</v>
      </c>
      <c r="C27" s="290"/>
      <c r="D27" s="291" t="str">
        <f t="shared" si="1"/>
        <v>lf</v>
      </c>
      <c r="E27" s="292">
        <f t="shared" si="2"/>
        <v>210</v>
      </c>
      <c r="F27" s="293">
        <f t="shared" si="3"/>
        <v>75</v>
      </c>
      <c r="G27" s="294"/>
      <c r="H27" s="294"/>
      <c r="I27" s="295">
        <f t="shared" si="7"/>
        <v>75</v>
      </c>
      <c r="J27" s="296">
        <f t="shared" si="4"/>
        <v>15750</v>
      </c>
      <c r="K27" s="296">
        <f t="shared" si="5"/>
        <v>0</v>
      </c>
      <c r="L27" s="296">
        <f t="shared" si="6"/>
        <v>0</v>
      </c>
      <c r="M27" s="296">
        <f t="shared" si="8"/>
        <v>15750</v>
      </c>
      <c r="N27" s="176">
        <v>4</v>
      </c>
      <c r="O27" s="243"/>
      <c r="P27" s="165"/>
    </row>
    <row r="28" spans="1:16">
      <c r="A28" s="288" t="s">
        <v>239</v>
      </c>
      <c r="B28" s="289" t="str">
        <f t="shared" si="0"/>
        <v>Fitting, 8"x6"x8"x6" Cross</v>
      </c>
      <c r="C28" s="290"/>
      <c r="D28" s="291" t="str">
        <f t="shared" si="1"/>
        <v>ea</v>
      </c>
      <c r="E28" s="292">
        <f t="shared" si="2"/>
        <v>1575</v>
      </c>
      <c r="F28" s="293">
        <f t="shared" si="3"/>
        <v>1</v>
      </c>
      <c r="G28" s="297"/>
      <c r="H28" s="297"/>
      <c r="I28" s="295">
        <f t="shared" si="7"/>
        <v>1</v>
      </c>
      <c r="J28" s="296">
        <f t="shared" si="4"/>
        <v>1575</v>
      </c>
      <c r="K28" s="296">
        <f t="shared" si="5"/>
        <v>0</v>
      </c>
      <c r="L28" s="296">
        <f t="shared" si="6"/>
        <v>0</v>
      </c>
      <c r="M28" s="296">
        <f t="shared" si="8"/>
        <v>1575</v>
      </c>
      <c r="N28" s="170">
        <v>5</v>
      </c>
      <c r="O28" s="243"/>
      <c r="P28" s="165"/>
    </row>
    <row r="29" spans="1:16">
      <c r="A29" s="288" t="s">
        <v>240</v>
      </c>
      <c r="B29" s="289" t="str">
        <f t="shared" si="0"/>
        <v>Fitting, 8"x6"x8" Tee</v>
      </c>
      <c r="C29" s="290"/>
      <c r="D29" s="291" t="str">
        <f t="shared" si="1"/>
        <v>ea</v>
      </c>
      <c r="E29" s="292">
        <f t="shared" si="2"/>
        <v>682.5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682.5</v>
      </c>
      <c r="K29" s="296">
        <f t="shared" si="5"/>
        <v>0</v>
      </c>
      <c r="L29" s="296">
        <f t="shared" si="6"/>
        <v>0</v>
      </c>
      <c r="M29" s="296">
        <f t="shared" si="8"/>
        <v>682.5</v>
      </c>
      <c r="N29" s="171">
        <v>6</v>
      </c>
      <c r="O29" s="244"/>
      <c r="P29" s="165"/>
    </row>
    <row r="30" spans="1:16">
      <c r="A30" s="288" t="s">
        <v>243</v>
      </c>
      <c r="B30" s="289" t="str">
        <f t="shared" si="0"/>
        <v>Fitting, 6"x6"x6" Tee</v>
      </c>
      <c r="C30" s="290"/>
      <c r="D30" s="291" t="str">
        <f t="shared" si="1"/>
        <v>ea</v>
      </c>
      <c r="E30" s="292">
        <f t="shared" si="2"/>
        <v>525</v>
      </c>
      <c r="F30" s="293">
        <f t="shared" si="3"/>
        <v>5</v>
      </c>
      <c r="G30" s="297"/>
      <c r="H30" s="297"/>
      <c r="I30" s="295">
        <f t="shared" si="7"/>
        <v>5</v>
      </c>
      <c r="J30" s="296">
        <f t="shared" si="4"/>
        <v>2625</v>
      </c>
      <c r="K30" s="296">
        <f t="shared" si="5"/>
        <v>0</v>
      </c>
      <c r="L30" s="296">
        <f t="shared" si="6"/>
        <v>0</v>
      </c>
      <c r="M30" s="296">
        <f t="shared" si="8"/>
        <v>2625</v>
      </c>
      <c r="N30" s="177">
        <v>7</v>
      </c>
      <c r="O30" s="244"/>
      <c r="P30" s="165"/>
    </row>
    <row r="31" spans="1:16">
      <c r="A31" s="288" t="s">
        <v>241</v>
      </c>
      <c r="B31" s="289" t="str">
        <f t="shared" si="0"/>
        <v>Fitting, 45 deg Bend, 8" dia.</v>
      </c>
      <c r="C31" s="290"/>
      <c r="D31" s="291" t="str">
        <f t="shared" si="1"/>
        <v>ea</v>
      </c>
      <c r="E31" s="292">
        <f t="shared" si="2"/>
        <v>420</v>
      </c>
      <c r="F31" s="293">
        <f t="shared" si="3"/>
        <v>6</v>
      </c>
      <c r="G31" s="297"/>
      <c r="H31" s="297"/>
      <c r="I31" s="295">
        <f t="shared" si="7"/>
        <v>6</v>
      </c>
      <c r="J31" s="296">
        <f t="shared" si="4"/>
        <v>2520</v>
      </c>
      <c r="K31" s="296">
        <f t="shared" si="5"/>
        <v>0</v>
      </c>
      <c r="L31" s="296">
        <f t="shared" si="6"/>
        <v>0</v>
      </c>
      <c r="M31" s="296">
        <f t="shared" si="8"/>
        <v>2520</v>
      </c>
      <c r="N31" s="178"/>
      <c r="O31" s="245" t="s">
        <v>10</v>
      </c>
      <c r="P31" s="165"/>
    </row>
    <row r="32" spans="1:16">
      <c r="A32" s="288" t="s">
        <v>286</v>
      </c>
      <c r="B32" s="289" t="str">
        <f t="shared" si="0"/>
        <v>Fitting, 90 deg Bend, 6"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1</v>
      </c>
      <c r="G32" s="297"/>
      <c r="H32" s="297"/>
      <c r="I32" s="295">
        <f t="shared" si="7"/>
        <v>1</v>
      </c>
      <c r="J32" s="296">
        <f t="shared" si="4"/>
        <v>420</v>
      </c>
      <c r="K32" s="296">
        <f t="shared" si="5"/>
        <v>0</v>
      </c>
      <c r="L32" s="296">
        <f t="shared" si="6"/>
        <v>0</v>
      </c>
      <c r="M32" s="296">
        <f t="shared" si="8"/>
        <v>420</v>
      </c>
      <c r="N32" s="179"/>
      <c r="O32" s="246">
        <f>SUM(O24:O30)</f>
        <v>0</v>
      </c>
      <c r="P32" s="165"/>
    </row>
    <row r="33" spans="1:16">
      <c r="A33" s="288" t="s">
        <v>242</v>
      </c>
      <c r="B33" s="289" t="str">
        <f t="shared" si="0"/>
        <v>Fitting, Pipe Cap, 8" dia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/>
      <c r="I33" s="295">
        <f t="shared" si="7"/>
        <v>1</v>
      </c>
      <c r="J33" s="296">
        <f t="shared" si="4"/>
        <v>420</v>
      </c>
      <c r="K33" s="296">
        <f t="shared" si="5"/>
        <v>0</v>
      </c>
      <c r="L33" s="296">
        <f t="shared" si="6"/>
        <v>0</v>
      </c>
      <c r="M33" s="296">
        <f t="shared" si="8"/>
        <v>420</v>
      </c>
      <c r="N33" s="180"/>
      <c r="P33" s="165"/>
    </row>
    <row r="34" spans="1:16">
      <c r="A34" s="288" t="s">
        <v>289</v>
      </c>
      <c r="B34" s="289" t="str">
        <f t="shared" si="0"/>
        <v>Water Service Stub, Copper, 1" dia., Type 'A'</v>
      </c>
      <c r="C34" s="290"/>
      <c r="D34" s="291" t="str">
        <f t="shared" si="1"/>
        <v>ea</v>
      </c>
      <c r="E34" s="292">
        <f t="shared" si="2"/>
        <v>6300</v>
      </c>
      <c r="F34" s="293">
        <f t="shared" si="3"/>
        <v>0</v>
      </c>
      <c r="G34" s="297"/>
      <c r="H34" s="297"/>
      <c r="I34" s="295">
        <f t="shared" si="7"/>
        <v>0</v>
      </c>
      <c r="J34" s="296">
        <f t="shared" si="4"/>
        <v>0</v>
      </c>
      <c r="K34" s="296">
        <f t="shared" si="5"/>
        <v>0</v>
      </c>
      <c r="L34" s="296">
        <f t="shared" si="6"/>
        <v>0</v>
      </c>
      <c r="M34" s="296">
        <f t="shared" si="8"/>
        <v>0</v>
      </c>
      <c r="N34" s="180"/>
      <c r="P34" s="165"/>
    </row>
    <row r="35" spans="1:16">
      <c r="A35" s="288" t="s">
        <v>233</v>
      </c>
      <c r="B35" s="289" t="str">
        <f t="shared" si="0"/>
        <v>Water Service Stub, Copper, 1" dia., Type 'B'</v>
      </c>
      <c r="C35" s="290"/>
      <c r="D35" s="291" t="str">
        <f t="shared" si="1"/>
        <v>ea</v>
      </c>
      <c r="E35" s="292">
        <f t="shared" si="2"/>
        <v>5250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</row>
    <row r="36" spans="1:16">
      <c r="A36" s="288" t="s">
        <v>232</v>
      </c>
      <c r="B36" s="289" t="str">
        <f t="shared" si="0"/>
        <v>Water Service Stub, Copper, 1" dia., Type 'C'</v>
      </c>
      <c r="C36" s="290"/>
      <c r="D36" s="291" t="str">
        <f t="shared" si="1"/>
        <v>ea</v>
      </c>
      <c r="E36" s="292">
        <f t="shared" si="2"/>
        <v>4200</v>
      </c>
      <c r="F36" s="293">
        <f t="shared" si="3"/>
        <v>15</v>
      </c>
      <c r="G36" s="297"/>
      <c r="H36" s="297"/>
      <c r="I36" s="295">
        <f t="shared" si="7"/>
        <v>15</v>
      </c>
      <c r="J36" s="296">
        <f t="shared" si="4"/>
        <v>63000</v>
      </c>
      <c r="K36" s="296">
        <f t="shared" si="5"/>
        <v>0</v>
      </c>
      <c r="L36" s="296">
        <f t="shared" si="6"/>
        <v>0</v>
      </c>
      <c r="M36" s="296">
        <f t="shared" si="8"/>
        <v>63000</v>
      </c>
      <c r="N36" s="180"/>
      <c r="P36" s="165"/>
    </row>
    <row r="37" spans="1:16">
      <c r="A37" s="288" t="s">
        <v>244</v>
      </c>
      <c r="B37" s="289" t="str">
        <f t="shared" si="0"/>
        <v>Water Service Stub, Copper, 1" dia., Type 'D'</v>
      </c>
      <c r="C37" s="290"/>
      <c r="D37" s="291" t="str">
        <f t="shared" si="1"/>
        <v>ea</v>
      </c>
      <c r="E37" s="292">
        <f t="shared" si="2"/>
        <v>3150</v>
      </c>
      <c r="F37" s="293">
        <f t="shared" si="3"/>
        <v>15</v>
      </c>
      <c r="G37" s="297"/>
      <c r="H37" s="297"/>
      <c r="I37" s="295">
        <f t="shared" si="7"/>
        <v>15</v>
      </c>
      <c r="J37" s="296">
        <f t="shared" si="4"/>
        <v>47250</v>
      </c>
      <c r="K37" s="296">
        <f t="shared" si="5"/>
        <v>0</v>
      </c>
      <c r="L37" s="296">
        <f t="shared" si="6"/>
        <v>0</v>
      </c>
      <c r="M37" s="296">
        <f t="shared" si="8"/>
        <v>47250</v>
      </c>
      <c r="N37" s="180"/>
      <c r="P37" s="165"/>
    </row>
    <row r="38" spans="1:16">
      <c r="A38" s="288" t="s">
        <v>245</v>
      </c>
      <c r="B38" s="289" t="str">
        <f t="shared" si="0"/>
        <v>Valve, Gate, 8" dia.</v>
      </c>
      <c r="C38" s="290"/>
      <c r="D38" s="291" t="str">
        <f t="shared" si="1"/>
        <v>ea</v>
      </c>
      <c r="E38" s="292">
        <f t="shared" si="2"/>
        <v>1890</v>
      </c>
      <c r="F38" s="293">
        <f t="shared" si="3"/>
        <v>4</v>
      </c>
      <c r="G38" s="297"/>
      <c r="H38" s="297"/>
      <c r="I38" s="295">
        <f t="shared" si="7"/>
        <v>4</v>
      </c>
      <c r="J38" s="296">
        <f t="shared" si="4"/>
        <v>7560</v>
      </c>
      <c r="K38" s="296">
        <f t="shared" si="5"/>
        <v>0</v>
      </c>
      <c r="L38" s="296">
        <f t="shared" si="6"/>
        <v>0</v>
      </c>
      <c r="M38" s="296">
        <f t="shared" si="8"/>
        <v>7560</v>
      </c>
      <c r="N38" s="180"/>
      <c r="P38" s="165"/>
    </row>
    <row r="39" spans="1:16">
      <c r="A39" s="288" t="s">
        <v>231</v>
      </c>
      <c r="B39" s="289" t="str">
        <f t="shared" si="0"/>
        <v>Valve, Gate, 6" dia.</v>
      </c>
      <c r="C39" s="290"/>
      <c r="D39" s="291" t="str">
        <f t="shared" si="1"/>
        <v>ea</v>
      </c>
      <c r="E39" s="292">
        <f t="shared" si="2"/>
        <v>1575</v>
      </c>
      <c r="F39" s="293">
        <f t="shared" si="3"/>
        <v>2</v>
      </c>
      <c r="G39" s="297"/>
      <c r="H39" s="297"/>
      <c r="I39" s="295">
        <f t="shared" si="7"/>
        <v>2</v>
      </c>
      <c r="J39" s="296">
        <f t="shared" si="4"/>
        <v>3150</v>
      </c>
      <c r="K39" s="296">
        <f t="shared" si="5"/>
        <v>0</v>
      </c>
      <c r="L39" s="296">
        <f t="shared" si="6"/>
        <v>0</v>
      </c>
      <c r="M39" s="296">
        <f t="shared" si="8"/>
        <v>3150</v>
      </c>
      <c r="N39" s="180"/>
      <c r="P39" s="165"/>
    </row>
    <row r="40" spans="1:16">
      <c r="A40" s="288" t="s">
        <v>246</v>
      </c>
      <c r="B40" s="289" t="str">
        <f t="shared" ref="B40:B71" si="9">VLOOKUP($A40,BIDTAB,2,FALSE)</f>
        <v>Fire Hydrant Assembly, 6" barrel</v>
      </c>
      <c r="C40" s="290"/>
      <c r="D40" s="291" t="str">
        <f t="shared" ref="D40:D71" si="10">VLOOKUP($A40,BIDTAB,3,FALSE)</f>
        <v>ea</v>
      </c>
      <c r="E40" s="292">
        <f t="shared" ref="E40:E71" si="11">VLOOKUP($A40,BIDTAB,7,FALSE)</f>
        <v>8400</v>
      </c>
      <c r="F40" s="293">
        <f t="shared" ref="F40:F71" si="12">VLOOKUP($A40,BIDTAB,4,FALSE)</f>
        <v>5</v>
      </c>
      <c r="G40" s="297"/>
      <c r="H40" s="297"/>
      <c r="I40" s="295">
        <f t="shared" si="7"/>
        <v>5</v>
      </c>
      <c r="J40" s="296">
        <f t="shared" si="4"/>
        <v>42000</v>
      </c>
      <c r="K40" s="296">
        <f t="shared" si="5"/>
        <v>0</v>
      </c>
      <c r="L40" s="296">
        <f t="shared" si="6"/>
        <v>0</v>
      </c>
      <c r="M40" s="296">
        <f t="shared" si="8"/>
        <v>42000</v>
      </c>
      <c r="N40" s="180"/>
      <c r="P40" s="165"/>
    </row>
    <row r="41" spans="1:16">
      <c r="A41" s="288" t="s">
        <v>247</v>
      </c>
      <c r="B41" s="289" t="str">
        <f t="shared" si="9"/>
        <v>Valve Box Replacment/Adjustment</v>
      </c>
      <c r="C41" s="290"/>
      <c r="D41" s="291" t="str">
        <f t="shared" si="10"/>
        <v>ea</v>
      </c>
      <c r="E41" s="292">
        <f t="shared" si="11"/>
        <v>650</v>
      </c>
      <c r="F41" s="293">
        <f t="shared" si="12"/>
        <v>10</v>
      </c>
      <c r="G41" s="297"/>
      <c r="H41" s="297"/>
      <c r="I41" s="295">
        <f t="shared" si="7"/>
        <v>10</v>
      </c>
      <c r="J41" s="296">
        <f t="shared" si="4"/>
        <v>6500</v>
      </c>
      <c r="K41" s="296">
        <f t="shared" si="5"/>
        <v>0</v>
      </c>
      <c r="L41" s="296">
        <f t="shared" si="6"/>
        <v>0</v>
      </c>
      <c r="M41" s="296">
        <f t="shared" si="8"/>
        <v>6500</v>
      </c>
      <c r="N41" s="180"/>
      <c r="P41" s="165"/>
    </row>
    <row r="42" spans="1:16">
      <c r="A42" s="288" t="s">
        <v>230</v>
      </c>
      <c r="B42" s="298" t="str">
        <f t="shared" si="9"/>
        <v>Fire Hydrant Assembly Removal</v>
      </c>
      <c r="C42" s="289"/>
      <c r="D42" s="291" t="str">
        <f t="shared" si="10"/>
        <v>ea</v>
      </c>
      <c r="E42" s="292">
        <f t="shared" si="11"/>
        <v>1050</v>
      </c>
      <c r="F42" s="293">
        <f t="shared" si="12"/>
        <v>4</v>
      </c>
      <c r="G42" s="297"/>
      <c r="H42" s="297"/>
      <c r="I42" s="295">
        <f t="shared" si="7"/>
        <v>4</v>
      </c>
      <c r="J42" s="296">
        <f t="shared" si="4"/>
        <v>4200</v>
      </c>
      <c r="K42" s="296">
        <f t="shared" si="5"/>
        <v>0</v>
      </c>
      <c r="L42" s="296">
        <f t="shared" si="6"/>
        <v>0</v>
      </c>
      <c r="M42" s="296">
        <f t="shared" si="8"/>
        <v>4200</v>
      </c>
      <c r="N42" s="180"/>
      <c r="P42" s="165"/>
    </row>
    <row r="43" spans="1:16">
      <c r="A43" s="288" t="s">
        <v>248</v>
      </c>
      <c r="B43" s="289" t="str">
        <f t="shared" si="9"/>
        <v>Valve Removal</v>
      </c>
      <c r="C43" s="290"/>
      <c r="D43" s="291" t="str">
        <f t="shared" si="10"/>
        <v>ea</v>
      </c>
      <c r="E43" s="292">
        <f t="shared" si="11"/>
        <v>525</v>
      </c>
      <c r="F43" s="293">
        <f t="shared" si="12"/>
        <v>2</v>
      </c>
      <c r="G43" s="297"/>
      <c r="H43" s="297"/>
      <c r="I43" s="295">
        <f t="shared" si="7"/>
        <v>2</v>
      </c>
      <c r="J43" s="296">
        <f t="shared" si="4"/>
        <v>1050</v>
      </c>
      <c r="K43" s="296">
        <f t="shared" si="5"/>
        <v>0</v>
      </c>
      <c r="L43" s="296">
        <f t="shared" si="6"/>
        <v>0</v>
      </c>
      <c r="M43" s="296">
        <f t="shared" si="8"/>
        <v>1050</v>
      </c>
      <c r="N43" s="180"/>
      <c r="P43" s="165"/>
    </row>
    <row r="44" spans="1:16">
      <c r="A44" s="288" t="s">
        <v>249</v>
      </c>
      <c r="B44" s="289" t="str">
        <f t="shared" si="9"/>
        <v>Abandon Main, any size</v>
      </c>
      <c r="C44" s="290"/>
      <c r="D44" s="291" t="str">
        <f t="shared" si="10"/>
        <v>ea</v>
      </c>
      <c r="E44" s="292">
        <f t="shared" si="11"/>
        <v>525</v>
      </c>
      <c r="F44" s="293">
        <f t="shared" si="12"/>
        <v>12</v>
      </c>
      <c r="G44" s="297"/>
      <c r="H44" s="297"/>
      <c r="I44" s="295">
        <f t="shared" si="7"/>
        <v>12</v>
      </c>
      <c r="J44" s="296">
        <f t="shared" si="4"/>
        <v>6300</v>
      </c>
      <c r="K44" s="296">
        <f t="shared" si="5"/>
        <v>0</v>
      </c>
      <c r="L44" s="296">
        <f t="shared" si="6"/>
        <v>0</v>
      </c>
      <c r="M44" s="296">
        <f t="shared" si="8"/>
        <v>6300</v>
      </c>
      <c r="N44" s="180"/>
      <c r="P44" s="165"/>
    </row>
    <row r="45" spans="1:16">
      <c r="A45" s="256"/>
      <c r="B45" s="23" t="e">
        <f t="shared" si="9"/>
        <v>#N/A</v>
      </c>
      <c r="C45" s="137"/>
      <c r="D45" s="24" t="e">
        <f t="shared" si="10"/>
        <v>#N/A</v>
      </c>
      <c r="E45" s="231" t="e">
        <f t="shared" si="11"/>
        <v>#N/A</v>
      </c>
      <c r="F45" s="225" t="e">
        <f t="shared" si="12"/>
        <v>#N/A</v>
      </c>
      <c r="G45" s="227"/>
      <c r="H45" s="227"/>
      <c r="I45" s="167" t="e">
        <f t="shared" si="7"/>
        <v>#N/A</v>
      </c>
      <c r="J45" s="162">
        <f t="shared" si="4"/>
        <v>0</v>
      </c>
      <c r="K45" s="162">
        <f t="shared" si="5"/>
        <v>0</v>
      </c>
      <c r="L45" s="162">
        <f t="shared" si="6"/>
        <v>0</v>
      </c>
      <c r="M45" s="162">
        <f t="shared" si="8"/>
        <v>0</v>
      </c>
      <c r="N45" s="180"/>
      <c r="P45" s="165"/>
    </row>
    <row r="46" spans="1:16">
      <c r="A46" s="287" t="s">
        <v>250</v>
      </c>
      <c r="B46" s="299" t="str">
        <f t="shared" si="9"/>
        <v>Manhole, Sanitary, Type SW-301, 48" dia.</v>
      </c>
      <c r="C46" s="300"/>
      <c r="D46" s="301" t="str">
        <f t="shared" si="10"/>
        <v>ea</v>
      </c>
      <c r="E46" s="302">
        <f t="shared" si="11"/>
        <v>9342.7000000000007</v>
      </c>
      <c r="F46" s="303">
        <f t="shared" si="12"/>
        <v>8</v>
      </c>
      <c r="G46" s="304"/>
      <c r="H46" s="304">
        <v>4</v>
      </c>
      <c r="I46" s="305">
        <f t="shared" si="7"/>
        <v>4</v>
      </c>
      <c r="J46" s="306">
        <f t="shared" si="4"/>
        <v>74741.600000000006</v>
      </c>
      <c r="K46" s="306">
        <f t="shared" si="5"/>
        <v>0</v>
      </c>
      <c r="L46" s="306">
        <f t="shared" si="6"/>
        <v>37370.800000000003</v>
      </c>
      <c r="M46" s="306">
        <f t="shared" si="8"/>
        <v>37370.800000000003</v>
      </c>
      <c r="N46" s="180"/>
      <c r="P46" s="165"/>
    </row>
    <row r="47" spans="1:16">
      <c r="A47" s="251" t="s">
        <v>252</v>
      </c>
      <c r="B47" s="23" t="str">
        <f t="shared" si="9"/>
        <v>Manhole, Storm, Type SW-401, 48" dia.</v>
      </c>
      <c r="C47" s="137"/>
      <c r="D47" s="24" t="str">
        <f t="shared" si="10"/>
        <v>ea</v>
      </c>
      <c r="E47" s="231">
        <f t="shared" si="11"/>
        <v>9532.36</v>
      </c>
      <c r="F47" s="225">
        <f t="shared" si="12"/>
        <v>1</v>
      </c>
      <c r="G47" s="227"/>
      <c r="H47" s="227"/>
      <c r="I47" s="167">
        <f t="shared" si="7"/>
        <v>1</v>
      </c>
      <c r="J47" s="162">
        <f t="shared" si="4"/>
        <v>9532.36</v>
      </c>
      <c r="K47" s="162">
        <f t="shared" si="5"/>
        <v>0</v>
      </c>
      <c r="L47" s="162">
        <f t="shared" si="6"/>
        <v>0</v>
      </c>
      <c r="M47" s="162">
        <f t="shared" si="8"/>
        <v>9532.36</v>
      </c>
      <c r="N47" s="180"/>
      <c r="P47" s="165"/>
    </row>
    <row r="48" spans="1:16">
      <c r="A48" s="251" t="s">
        <v>251</v>
      </c>
      <c r="B48" s="23" t="str">
        <f t="shared" si="9"/>
        <v>Intake Type SW-501</v>
      </c>
      <c r="C48" s="137"/>
      <c r="D48" s="24" t="str">
        <f t="shared" si="10"/>
        <v>ea</v>
      </c>
      <c r="E48" s="231">
        <f t="shared" si="11"/>
        <v>3535.16</v>
      </c>
      <c r="F48" s="225">
        <f t="shared" si="12"/>
        <v>7</v>
      </c>
      <c r="G48" s="227"/>
      <c r="H48" s="227"/>
      <c r="I48" s="167">
        <f t="shared" si="7"/>
        <v>7</v>
      </c>
      <c r="J48" s="162">
        <f t="shared" si="4"/>
        <v>24746.12</v>
      </c>
      <c r="K48" s="162">
        <f t="shared" si="5"/>
        <v>0</v>
      </c>
      <c r="L48" s="162">
        <f t="shared" si="6"/>
        <v>0</v>
      </c>
      <c r="M48" s="162">
        <f t="shared" si="8"/>
        <v>24746.12</v>
      </c>
      <c r="N48" s="180"/>
      <c r="P48" s="165"/>
    </row>
    <row r="49" spans="1:16">
      <c r="A49" s="283" t="s">
        <v>290</v>
      </c>
      <c r="B49" s="23" t="str">
        <f t="shared" si="9"/>
        <v>Intake Type SW-503</v>
      </c>
      <c r="C49" s="137"/>
      <c r="D49" s="24" t="str">
        <f t="shared" si="10"/>
        <v>ea</v>
      </c>
      <c r="E49" s="231">
        <f t="shared" si="11"/>
        <v>7274.85</v>
      </c>
      <c r="F49" s="225">
        <f t="shared" si="12"/>
        <v>2</v>
      </c>
      <c r="G49" s="227"/>
      <c r="H49" s="227"/>
      <c r="I49" s="167">
        <f t="shared" si="7"/>
        <v>2</v>
      </c>
      <c r="J49" s="162">
        <f t="shared" si="4"/>
        <v>14549.7</v>
      </c>
      <c r="K49" s="162">
        <f t="shared" si="5"/>
        <v>0</v>
      </c>
      <c r="L49" s="162">
        <f t="shared" si="6"/>
        <v>0</v>
      </c>
      <c r="M49" s="162">
        <f t="shared" si="8"/>
        <v>14549.7</v>
      </c>
      <c r="N49" s="180"/>
      <c r="P49" s="165"/>
    </row>
    <row r="50" spans="1:16">
      <c r="A50" s="287" t="s">
        <v>253</v>
      </c>
      <c r="B50" s="307" t="str">
        <f t="shared" si="9"/>
        <v>Manhole Adjustment, Sanitary Sewer, Minor</v>
      </c>
      <c r="C50" s="299"/>
      <c r="D50" s="301" t="str">
        <f t="shared" si="10"/>
        <v>ea</v>
      </c>
      <c r="E50" s="302">
        <f t="shared" si="11"/>
        <v>2200</v>
      </c>
      <c r="F50" s="303">
        <f t="shared" si="12"/>
        <v>1</v>
      </c>
      <c r="G50" s="304"/>
      <c r="H50" s="304"/>
      <c r="I50" s="305">
        <f t="shared" si="7"/>
        <v>1</v>
      </c>
      <c r="J50" s="306">
        <f t="shared" si="4"/>
        <v>2200</v>
      </c>
      <c r="K50" s="306">
        <f t="shared" si="5"/>
        <v>0</v>
      </c>
      <c r="L50" s="306">
        <f t="shared" si="6"/>
        <v>0</v>
      </c>
      <c r="M50" s="306">
        <f t="shared" si="8"/>
        <v>2200</v>
      </c>
      <c r="N50" s="180"/>
      <c r="P50" s="165"/>
    </row>
    <row r="51" spans="1:16">
      <c r="A51" s="287" t="s">
        <v>254</v>
      </c>
      <c r="B51" s="299" t="str">
        <f t="shared" si="9"/>
        <v>Manhole Adjustment, Sanitary Sewer, Major</v>
      </c>
      <c r="C51" s="300"/>
      <c r="D51" s="301" t="str">
        <f t="shared" si="10"/>
        <v>ea</v>
      </c>
      <c r="E51" s="302">
        <f t="shared" si="11"/>
        <v>5250</v>
      </c>
      <c r="F51" s="303">
        <f t="shared" si="12"/>
        <v>1</v>
      </c>
      <c r="G51" s="304"/>
      <c r="H51" s="304"/>
      <c r="I51" s="305">
        <f t="shared" si="7"/>
        <v>1</v>
      </c>
      <c r="J51" s="306">
        <f t="shared" si="4"/>
        <v>5250</v>
      </c>
      <c r="K51" s="306">
        <f t="shared" si="5"/>
        <v>0</v>
      </c>
      <c r="L51" s="306">
        <f t="shared" si="6"/>
        <v>0</v>
      </c>
      <c r="M51" s="306">
        <f t="shared" si="8"/>
        <v>5250</v>
      </c>
      <c r="N51" s="180"/>
      <c r="P51" s="165"/>
    </row>
    <row r="52" spans="1:16">
      <c r="A52" s="326" t="s">
        <v>256</v>
      </c>
      <c r="B52" s="327" t="str">
        <f t="shared" si="9"/>
        <v>Intake Adjustment, Minor</v>
      </c>
      <c r="C52" s="328"/>
      <c r="D52" s="329" t="str">
        <f t="shared" si="10"/>
        <v>ea</v>
      </c>
      <c r="E52" s="330">
        <f t="shared" si="11"/>
        <v>1236.5</v>
      </c>
      <c r="F52" s="331">
        <f t="shared" si="12"/>
        <v>3</v>
      </c>
      <c r="G52" s="332"/>
      <c r="H52" s="332"/>
      <c r="I52" s="333">
        <f t="shared" si="7"/>
        <v>3</v>
      </c>
      <c r="J52" s="334">
        <f t="shared" si="4"/>
        <v>3709.5</v>
      </c>
      <c r="K52" s="334">
        <f t="shared" si="5"/>
        <v>0</v>
      </c>
      <c r="L52" s="334">
        <f t="shared" si="6"/>
        <v>0</v>
      </c>
      <c r="M52" s="334">
        <f t="shared" si="8"/>
        <v>3709.5</v>
      </c>
      <c r="N52" s="180"/>
      <c r="P52" s="165"/>
    </row>
    <row r="53" spans="1:16">
      <c r="A53" s="287" t="s">
        <v>255</v>
      </c>
      <c r="B53" s="299" t="str">
        <f t="shared" si="9"/>
        <v>Remove Manhole, Sanitary Sewer</v>
      </c>
      <c r="C53" s="300"/>
      <c r="D53" s="301" t="str">
        <f t="shared" si="10"/>
        <v>ea</v>
      </c>
      <c r="E53" s="302">
        <f t="shared" si="11"/>
        <v>1050</v>
      </c>
      <c r="F53" s="303">
        <f t="shared" si="12"/>
        <v>9</v>
      </c>
      <c r="G53" s="304"/>
      <c r="H53" s="304">
        <v>4</v>
      </c>
      <c r="I53" s="305">
        <f t="shared" si="7"/>
        <v>5</v>
      </c>
      <c r="J53" s="306">
        <f t="shared" si="4"/>
        <v>9450</v>
      </c>
      <c r="K53" s="306">
        <f t="shared" si="5"/>
        <v>0</v>
      </c>
      <c r="L53" s="306">
        <f t="shared" si="6"/>
        <v>4200</v>
      </c>
      <c r="M53" s="306">
        <f t="shared" si="8"/>
        <v>5250</v>
      </c>
      <c r="N53" s="180"/>
      <c r="P53" s="165"/>
    </row>
    <row r="54" spans="1:16">
      <c r="A54" s="251" t="s">
        <v>257</v>
      </c>
      <c r="B54" s="23" t="str">
        <f t="shared" si="9"/>
        <v>Remove Manhole, Storm Sewer</v>
      </c>
      <c r="C54" s="137"/>
      <c r="D54" s="24" t="str">
        <f t="shared" si="10"/>
        <v>ea</v>
      </c>
      <c r="E54" s="231">
        <f t="shared" si="11"/>
        <v>1050</v>
      </c>
      <c r="F54" s="225">
        <f t="shared" si="12"/>
        <v>1</v>
      </c>
      <c r="G54" s="227"/>
      <c r="H54" s="227"/>
      <c r="I54" s="167">
        <f t="shared" si="7"/>
        <v>1</v>
      </c>
      <c r="J54" s="162">
        <f t="shared" si="4"/>
        <v>1050</v>
      </c>
      <c r="K54" s="162">
        <f t="shared" si="5"/>
        <v>0</v>
      </c>
      <c r="L54" s="162">
        <f t="shared" si="6"/>
        <v>0</v>
      </c>
      <c r="M54" s="162">
        <f t="shared" si="8"/>
        <v>1050</v>
      </c>
      <c r="N54" s="180"/>
      <c r="P54" s="165"/>
    </row>
    <row r="55" spans="1:16">
      <c r="A55" s="251" t="s">
        <v>287</v>
      </c>
      <c r="B55" s="23" t="str">
        <f t="shared" si="9"/>
        <v>Remove Intake</v>
      </c>
      <c r="C55" s="137"/>
      <c r="D55" s="24" t="str">
        <f t="shared" si="10"/>
        <v>ea</v>
      </c>
      <c r="E55" s="231">
        <f t="shared" si="11"/>
        <v>1050</v>
      </c>
      <c r="F55" s="225">
        <f t="shared" si="12"/>
        <v>9</v>
      </c>
      <c r="G55" s="227"/>
      <c r="H55" s="227"/>
      <c r="I55" s="167">
        <f t="shared" si="7"/>
        <v>9</v>
      </c>
      <c r="J55" s="162">
        <f t="shared" si="4"/>
        <v>9450</v>
      </c>
      <c r="K55" s="162">
        <f t="shared" si="5"/>
        <v>0</v>
      </c>
      <c r="L55" s="162">
        <f t="shared" si="6"/>
        <v>0</v>
      </c>
      <c r="M55" s="162">
        <f t="shared" si="8"/>
        <v>9450</v>
      </c>
      <c r="N55" s="180"/>
      <c r="P55" s="165"/>
    </row>
    <row r="56" spans="1:16">
      <c r="A56" s="256"/>
      <c r="B56" s="23" t="e">
        <f t="shared" si="9"/>
        <v>#N/A</v>
      </c>
      <c r="C56" s="137"/>
      <c r="D56" s="24" t="e">
        <f t="shared" si="10"/>
        <v>#N/A</v>
      </c>
      <c r="E56" s="231" t="e">
        <f t="shared" si="11"/>
        <v>#N/A</v>
      </c>
      <c r="F56" s="225" t="e">
        <f t="shared" si="12"/>
        <v>#N/A</v>
      </c>
      <c r="G56" s="227"/>
      <c r="H56" s="227"/>
      <c r="I56" s="167" t="e">
        <f t="shared" si="7"/>
        <v>#N/A</v>
      </c>
      <c r="J56" s="162">
        <f t="shared" si="4"/>
        <v>0</v>
      </c>
      <c r="K56" s="162">
        <f t="shared" si="5"/>
        <v>0</v>
      </c>
      <c r="L56" s="162">
        <f t="shared" si="6"/>
        <v>0</v>
      </c>
      <c r="M56" s="162">
        <f t="shared" si="8"/>
        <v>0</v>
      </c>
      <c r="N56" s="180"/>
      <c r="P56" s="165"/>
    </row>
    <row r="57" spans="1:16">
      <c r="A57" s="316" t="s">
        <v>258</v>
      </c>
      <c r="B57" s="325" t="str">
        <f t="shared" si="9"/>
        <v>Curb &amp; Gutter, 30" width, 12" thickness</v>
      </c>
      <c r="C57" s="337"/>
      <c r="D57" s="338" t="str">
        <f t="shared" si="10"/>
        <v>lf</v>
      </c>
      <c r="E57" s="339">
        <f t="shared" si="11"/>
        <v>35</v>
      </c>
      <c r="F57" s="340">
        <f t="shared" si="12"/>
        <v>5300</v>
      </c>
      <c r="G57" s="341"/>
      <c r="H57" s="341"/>
      <c r="I57" s="342">
        <f t="shared" si="7"/>
        <v>5300</v>
      </c>
      <c r="J57" s="343">
        <f t="shared" si="4"/>
        <v>185500</v>
      </c>
      <c r="K57" s="343">
        <f t="shared" si="5"/>
        <v>0</v>
      </c>
      <c r="L57" s="343">
        <f t="shared" si="6"/>
        <v>0</v>
      </c>
      <c r="M57" s="343">
        <f t="shared" si="8"/>
        <v>185500</v>
      </c>
      <c r="N57" s="180"/>
      <c r="P57" s="165"/>
    </row>
    <row r="58" spans="1:16">
      <c r="A58" s="251" t="s">
        <v>259</v>
      </c>
      <c r="B58" s="23" t="str">
        <f t="shared" si="9"/>
        <v>Pavement, HMA, Base, 5" depth</v>
      </c>
      <c r="C58" s="137"/>
      <c r="D58" s="24" t="str">
        <f t="shared" si="10"/>
        <v>ton</v>
      </c>
      <c r="E58" s="231">
        <f t="shared" si="11"/>
        <v>103</v>
      </c>
      <c r="F58" s="225">
        <f t="shared" si="12"/>
        <v>2844.8</v>
      </c>
      <c r="G58" s="227"/>
      <c r="H58" s="227"/>
      <c r="I58" s="167">
        <f t="shared" si="7"/>
        <v>2844.8</v>
      </c>
      <c r="J58" s="162">
        <f t="shared" si="4"/>
        <v>293014.40000000002</v>
      </c>
      <c r="K58" s="162">
        <f t="shared" si="5"/>
        <v>0</v>
      </c>
      <c r="L58" s="162">
        <f t="shared" si="6"/>
        <v>0</v>
      </c>
      <c r="M58" s="162">
        <f t="shared" si="8"/>
        <v>293014.40000000002</v>
      </c>
      <c r="N58" s="180"/>
      <c r="P58" s="165"/>
    </row>
    <row r="59" spans="1:16">
      <c r="A59" s="251" t="s">
        <v>260</v>
      </c>
      <c r="B59" s="23" t="str">
        <f t="shared" si="9"/>
        <v>Pavement, HMA, Surface, 2" depth</v>
      </c>
      <c r="C59" s="137"/>
      <c r="D59" s="24" t="str">
        <f t="shared" si="10"/>
        <v>ton</v>
      </c>
      <c r="E59" s="231">
        <f t="shared" si="11"/>
        <v>108</v>
      </c>
      <c r="F59" s="225">
        <f t="shared" si="12"/>
        <v>1144.4000000000001</v>
      </c>
      <c r="G59" s="227"/>
      <c r="H59" s="227"/>
      <c r="I59" s="167">
        <f t="shared" si="7"/>
        <v>1144.4000000000001</v>
      </c>
      <c r="J59" s="162">
        <f t="shared" si="4"/>
        <v>123595.20000000001</v>
      </c>
      <c r="K59" s="162">
        <f t="shared" si="5"/>
        <v>0</v>
      </c>
      <c r="L59" s="162">
        <f t="shared" si="6"/>
        <v>0</v>
      </c>
      <c r="M59" s="162">
        <f t="shared" si="8"/>
        <v>123595.20000000001</v>
      </c>
      <c r="N59" s="180"/>
      <c r="P59" s="165"/>
    </row>
    <row r="60" spans="1:16">
      <c r="A60" s="251" t="s">
        <v>261</v>
      </c>
      <c r="B60" s="23" t="str">
        <f t="shared" si="9"/>
        <v>Removal of Sidewalk/Driveway</v>
      </c>
      <c r="C60" s="137"/>
      <c r="D60" s="24" t="str">
        <f t="shared" si="10"/>
        <v>sy</v>
      </c>
      <c r="E60" s="231">
        <f t="shared" si="11"/>
        <v>10.75</v>
      </c>
      <c r="F60" s="225">
        <f t="shared" si="12"/>
        <v>1191.7</v>
      </c>
      <c r="G60" s="227"/>
      <c r="H60" s="227"/>
      <c r="I60" s="167">
        <f t="shared" si="7"/>
        <v>1191.7</v>
      </c>
      <c r="J60" s="162">
        <f t="shared" si="4"/>
        <v>12810.775</v>
      </c>
      <c r="K60" s="162">
        <f t="shared" si="5"/>
        <v>0</v>
      </c>
      <c r="L60" s="162">
        <f t="shared" si="6"/>
        <v>0</v>
      </c>
      <c r="M60" s="162">
        <f t="shared" si="8"/>
        <v>12810.775</v>
      </c>
      <c r="N60" s="180"/>
      <c r="P60" s="165"/>
    </row>
    <row r="61" spans="1:16">
      <c r="A61" s="316" t="s">
        <v>262</v>
      </c>
      <c r="B61" s="325" t="str">
        <f t="shared" si="9"/>
        <v>Sidewalk/Drive, PCC, 6"/4" depth</v>
      </c>
      <c r="C61" s="337"/>
      <c r="D61" s="338" t="str">
        <f t="shared" si="10"/>
        <v>sy</v>
      </c>
      <c r="E61" s="339">
        <f t="shared" si="11"/>
        <v>94</v>
      </c>
      <c r="F61" s="340">
        <f t="shared" si="12"/>
        <v>1293</v>
      </c>
      <c r="G61" s="341"/>
      <c r="H61" s="341"/>
      <c r="I61" s="342">
        <f t="shared" si="7"/>
        <v>1293</v>
      </c>
      <c r="J61" s="343">
        <f t="shared" si="4"/>
        <v>121542</v>
      </c>
      <c r="K61" s="343">
        <f t="shared" si="5"/>
        <v>0</v>
      </c>
      <c r="L61" s="343">
        <f t="shared" si="6"/>
        <v>0</v>
      </c>
      <c r="M61" s="343">
        <f t="shared" si="8"/>
        <v>121542</v>
      </c>
      <c r="N61" s="180"/>
      <c r="P61" s="165"/>
    </row>
    <row r="62" spans="1:16">
      <c r="A62" s="251" t="s">
        <v>263</v>
      </c>
      <c r="B62" s="23" t="str">
        <f t="shared" si="9"/>
        <v>Detectable Warning</v>
      </c>
      <c r="C62" s="137"/>
      <c r="D62" s="24" t="str">
        <f t="shared" si="10"/>
        <v>sf</v>
      </c>
      <c r="E62" s="231">
        <f t="shared" si="11"/>
        <v>45</v>
      </c>
      <c r="F62" s="225">
        <f t="shared" si="12"/>
        <v>263</v>
      </c>
      <c r="G62" s="227"/>
      <c r="H62" s="227"/>
      <c r="I62" s="167">
        <f t="shared" si="7"/>
        <v>263</v>
      </c>
      <c r="J62" s="162">
        <f t="shared" si="4"/>
        <v>11835</v>
      </c>
      <c r="K62" s="162">
        <f t="shared" si="5"/>
        <v>0</v>
      </c>
      <c r="L62" s="162">
        <f t="shared" si="6"/>
        <v>0</v>
      </c>
      <c r="M62" s="162">
        <f t="shared" si="8"/>
        <v>11835</v>
      </c>
      <c r="N62" s="180"/>
      <c r="P62" s="165"/>
    </row>
    <row r="63" spans="1:16">
      <c r="A63" s="251" t="s">
        <v>264</v>
      </c>
      <c r="B63" s="23" t="str">
        <f t="shared" si="9"/>
        <v>Full Depth Patch, PCC</v>
      </c>
      <c r="C63" s="137"/>
      <c r="D63" s="24" t="str">
        <f t="shared" si="10"/>
        <v>sy</v>
      </c>
      <c r="E63" s="231">
        <f t="shared" si="11"/>
        <v>112</v>
      </c>
      <c r="F63" s="225">
        <f t="shared" si="12"/>
        <v>44.2</v>
      </c>
      <c r="G63" s="227"/>
      <c r="H63" s="227"/>
      <c r="I63" s="167">
        <f t="shared" si="7"/>
        <v>44.2</v>
      </c>
      <c r="J63" s="162">
        <f t="shared" si="4"/>
        <v>4950.4000000000005</v>
      </c>
      <c r="K63" s="162">
        <f t="shared" si="5"/>
        <v>0</v>
      </c>
      <c r="L63" s="162">
        <f t="shared" si="6"/>
        <v>0</v>
      </c>
      <c r="M63" s="162">
        <f t="shared" si="8"/>
        <v>4950.4000000000005</v>
      </c>
      <c r="N63" s="180"/>
      <c r="P63" s="165"/>
    </row>
    <row r="64" spans="1:16">
      <c r="A64" s="251" t="s">
        <v>265</v>
      </c>
      <c r="B64" s="23" t="str">
        <f t="shared" si="9"/>
        <v>Milling</v>
      </c>
      <c r="C64" s="137"/>
      <c r="D64" s="24" t="str">
        <f t="shared" si="10"/>
        <v>sy</v>
      </c>
      <c r="E64" s="231">
        <f t="shared" si="11"/>
        <v>78</v>
      </c>
      <c r="F64" s="225">
        <f t="shared" si="12"/>
        <v>52.7</v>
      </c>
      <c r="G64" s="227"/>
      <c r="H64" s="227"/>
      <c r="I64" s="167">
        <f t="shared" si="7"/>
        <v>52.7</v>
      </c>
      <c r="J64" s="162">
        <f t="shared" si="4"/>
        <v>4110.6000000000004</v>
      </c>
      <c r="K64" s="162">
        <f t="shared" si="5"/>
        <v>0</v>
      </c>
      <c r="L64" s="162">
        <f t="shared" si="6"/>
        <v>0</v>
      </c>
      <c r="M64" s="162">
        <f t="shared" si="8"/>
        <v>4110.6000000000004</v>
      </c>
      <c r="N64" s="180"/>
      <c r="P64" s="165"/>
    </row>
    <row r="65" spans="1:16">
      <c r="A65" s="251" t="s">
        <v>266</v>
      </c>
      <c r="B65" s="23" t="str">
        <f t="shared" si="9"/>
        <v>Pavement Removal</v>
      </c>
      <c r="C65" s="137"/>
      <c r="D65" s="24" t="str">
        <f t="shared" si="10"/>
        <v>sy</v>
      </c>
      <c r="E65" s="231">
        <f t="shared" si="11"/>
        <v>5.5</v>
      </c>
      <c r="F65" s="225">
        <f t="shared" si="12"/>
        <v>9400.1</v>
      </c>
      <c r="G65" s="227"/>
      <c r="H65" s="227">
        <v>799.9</v>
      </c>
      <c r="I65" s="167">
        <f t="shared" si="7"/>
        <v>8600.2000000000007</v>
      </c>
      <c r="J65" s="162">
        <f t="shared" si="4"/>
        <v>51700.55</v>
      </c>
      <c r="K65" s="162">
        <f t="shared" si="5"/>
        <v>0</v>
      </c>
      <c r="L65" s="162">
        <f t="shared" si="6"/>
        <v>4399.45</v>
      </c>
      <c r="M65" s="162">
        <f t="shared" si="8"/>
        <v>47301.100000000006</v>
      </c>
      <c r="N65" s="180"/>
      <c r="P65" s="165"/>
    </row>
    <row r="66" spans="1:16">
      <c r="A66" s="251" t="s">
        <v>288</v>
      </c>
      <c r="B66" s="23" t="str">
        <f t="shared" si="9"/>
        <v>Curb &amp; Gutter Removal</v>
      </c>
      <c r="C66" s="137"/>
      <c r="D66" s="24" t="str">
        <f t="shared" si="10"/>
        <v>lf</v>
      </c>
      <c r="E66" s="231">
        <f t="shared" si="11"/>
        <v>6.25</v>
      </c>
      <c r="F66" s="225">
        <f t="shared" si="12"/>
        <v>5281</v>
      </c>
      <c r="G66" s="227"/>
      <c r="H66" s="227"/>
      <c r="I66" s="167">
        <f t="shared" si="7"/>
        <v>5281</v>
      </c>
      <c r="J66" s="162">
        <f t="shared" si="4"/>
        <v>33006.25</v>
      </c>
      <c r="K66" s="162">
        <f t="shared" si="5"/>
        <v>0</v>
      </c>
      <c r="L66" s="162">
        <f t="shared" si="6"/>
        <v>0</v>
      </c>
      <c r="M66" s="162">
        <f t="shared" si="8"/>
        <v>33006.25</v>
      </c>
      <c r="N66" s="180"/>
      <c r="P66" s="165"/>
    </row>
    <row r="67" spans="1:16">
      <c r="A67" s="251" t="s">
        <v>267</v>
      </c>
      <c r="B67" s="23" t="str">
        <f t="shared" si="9"/>
        <v>Engineering Fabric/Geogrid Fabric</v>
      </c>
      <c r="C67" s="137"/>
      <c r="D67" s="24" t="str">
        <f t="shared" si="10"/>
        <v>sy</v>
      </c>
      <c r="E67" s="231">
        <f t="shared" si="11"/>
        <v>3.5</v>
      </c>
      <c r="F67" s="225">
        <f t="shared" si="12"/>
        <v>2996</v>
      </c>
      <c r="G67" s="227"/>
      <c r="H67" s="227"/>
      <c r="I67" s="167">
        <f t="shared" si="7"/>
        <v>2996</v>
      </c>
      <c r="J67" s="162">
        <f t="shared" si="4"/>
        <v>10486</v>
      </c>
      <c r="K67" s="162">
        <f t="shared" si="5"/>
        <v>0</v>
      </c>
      <c r="L67" s="162">
        <f t="shared" si="6"/>
        <v>0</v>
      </c>
      <c r="M67" s="162">
        <f t="shared" si="8"/>
        <v>10486</v>
      </c>
      <c r="N67" s="180"/>
      <c r="P67" s="165"/>
    </row>
    <row r="68" spans="1:16">
      <c r="A68" s="256"/>
      <c r="B68" s="23" t="e">
        <f t="shared" si="9"/>
        <v>#N/A</v>
      </c>
      <c r="C68" s="137"/>
      <c r="D68" s="24" t="e">
        <f t="shared" si="10"/>
        <v>#N/A</v>
      </c>
      <c r="E68" s="231" t="e">
        <f t="shared" si="11"/>
        <v>#N/A</v>
      </c>
      <c r="F68" s="225" t="e">
        <f t="shared" si="12"/>
        <v>#N/A</v>
      </c>
      <c r="G68" s="227"/>
      <c r="H68" s="227"/>
      <c r="I68" s="167" t="e">
        <f t="shared" si="7"/>
        <v>#N/A</v>
      </c>
      <c r="J68" s="162">
        <f t="shared" si="4"/>
        <v>0</v>
      </c>
      <c r="K68" s="162">
        <f t="shared" si="5"/>
        <v>0</v>
      </c>
      <c r="L68" s="162">
        <f t="shared" si="6"/>
        <v>0</v>
      </c>
      <c r="M68" s="162">
        <f t="shared" si="8"/>
        <v>0</v>
      </c>
      <c r="N68" s="180"/>
      <c r="P68" s="165"/>
    </row>
    <row r="69" spans="1:16">
      <c r="A69" s="251" t="s">
        <v>268</v>
      </c>
      <c r="B69" s="23" t="str">
        <f t="shared" si="9"/>
        <v>Temporary Traffic Control</v>
      </c>
      <c r="C69" s="137"/>
      <c r="D69" s="24" t="str">
        <f t="shared" si="10"/>
        <v>ls</v>
      </c>
      <c r="E69" s="231">
        <f t="shared" si="11"/>
        <v>17350</v>
      </c>
      <c r="F69" s="225">
        <f t="shared" si="12"/>
        <v>1</v>
      </c>
      <c r="G69" s="227"/>
      <c r="H69" s="227">
        <v>0.2</v>
      </c>
      <c r="I69" s="167">
        <f t="shared" si="7"/>
        <v>0.8</v>
      </c>
      <c r="J69" s="162">
        <f t="shared" si="4"/>
        <v>17350</v>
      </c>
      <c r="K69" s="162">
        <f t="shared" si="5"/>
        <v>0</v>
      </c>
      <c r="L69" s="162">
        <f t="shared" si="6"/>
        <v>3470</v>
      </c>
      <c r="M69" s="162">
        <f t="shared" si="8"/>
        <v>13880</v>
      </c>
      <c r="N69" s="180"/>
      <c r="P69" s="165"/>
    </row>
    <row r="70" spans="1:16">
      <c r="A70" s="256"/>
      <c r="B70" s="23" t="e">
        <f t="shared" si="9"/>
        <v>#N/A</v>
      </c>
      <c r="C70" s="137"/>
      <c r="D70" s="24" t="e">
        <f t="shared" si="10"/>
        <v>#N/A</v>
      </c>
      <c r="E70" s="232" t="e">
        <f t="shared" si="11"/>
        <v>#N/A</v>
      </c>
      <c r="F70" s="225" t="e">
        <f t="shared" si="12"/>
        <v>#N/A</v>
      </c>
      <c r="G70" s="227"/>
      <c r="H70" s="227"/>
      <c r="I70" s="167" t="e">
        <f t="shared" si="7"/>
        <v>#N/A</v>
      </c>
      <c r="J70" s="162">
        <f t="shared" si="4"/>
        <v>0</v>
      </c>
      <c r="K70" s="162">
        <f t="shared" si="5"/>
        <v>0</v>
      </c>
      <c r="L70" s="162">
        <f t="shared" si="6"/>
        <v>0</v>
      </c>
      <c r="M70" s="162">
        <f t="shared" si="8"/>
        <v>0</v>
      </c>
      <c r="N70" s="180"/>
      <c r="P70" s="165"/>
    </row>
    <row r="71" spans="1:16">
      <c r="A71" s="251" t="s">
        <v>269</v>
      </c>
      <c r="B71" s="23" t="str">
        <f t="shared" si="9"/>
        <v>Wattles</v>
      </c>
      <c r="C71" s="137"/>
      <c r="D71" s="24" t="str">
        <f t="shared" si="10"/>
        <v>lf</v>
      </c>
      <c r="E71" s="232">
        <f t="shared" si="11"/>
        <v>3.7</v>
      </c>
      <c r="F71" s="225">
        <f t="shared" si="12"/>
        <v>500</v>
      </c>
      <c r="G71" s="227"/>
      <c r="H71" s="227">
        <v>74</v>
      </c>
      <c r="I71" s="167">
        <f t="shared" si="7"/>
        <v>426</v>
      </c>
      <c r="J71" s="162">
        <f t="shared" si="4"/>
        <v>1850</v>
      </c>
      <c r="K71" s="162">
        <f t="shared" si="5"/>
        <v>0</v>
      </c>
      <c r="L71" s="162">
        <f t="shared" si="6"/>
        <v>273.8</v>
      </c>
      <c r="M71" s="162">
        <f t="shared" si="8"/>
        <v>1576.2</v>
      </c>
      <c r="N71" s="180"/>
      <c r="P71" s="165"/>
    </row>
    <row r="72" spans="1:16">
      <c r="A72" s="251" t="s">
        <v>270</v>
      </c>
      <c r="B72" s="23" t="str">
        <f t="shared" ref="B72:B107" si="13">VLOOKUP($A72,BIDTAB,2,FALSE)</f>
        <v>Inlet Protection Device</v>
      </c>
      <c r="C72" s="137"/>
      <c r="D72" s="24" t="str">
        <f t="shared" ref="D72:D107" si="14">VLOOKUP($A72,BIDTAB,3,FALSE)</f>
        <v>ea</v>
      </c>
      <c r="E72" s="233">
        <f t="shared" ref="E72:E107" si="15">VLOOKUP($A72,BIDTAB,7,FALSE)</f>
        <v>210</v>
      </c>
      <c r="F72" s="225">
        <f t="shared" ref="F72:F107" si="16">VLOOKUP($A72,BIDTAB,4,FALSE)</f>
        <v>17</v>
      </c>
      <c r="G72" s="227"/>
      <c r="H72" s="227"/>
      <c r="I72" s="167">
        <f t="shared" si="7"/>
        <v>17</v>
      </c>
      <c r="J72" s="162">
        <f t="shared" ref="J72:J75" si="17">IF(ISERROR(F72*E72),0,F72*E72)</f>
        <v>3570</v>
      </c>
      <c r="K72" s="162">
        <f t="shared" ref="K72:K75" si="18">IF(ISERROR(G72*E72),0,G72*E72)</f>
        <v>0</v>
      </c>
      <c r="L72" s="162">
        <f t="shared" ref="L72:L75" si="19">IF(ISERROR(H72*E72),0,H72*E72)</f>
        <v>0</v>
      </c>
      <c r="M72" s="162">
        <f t="shared" si="8"/>
        <v>3570</v>
      </c>
      <c r="N72" s="180"/>
      <c r="P72" s="165"/>
    </row>
    <row r="73" spans="1:16">
      <c r="A73" s="251" t="s">
        <v>271</v>
      </c>
      <c r="B73" s="23" t="str">
        <f t="shared" si="13"/>
        <v>Inlet Protection Device, Maintenance</v>
      </c>
      <c r="C73" s="137"/>
      <c r="D73" s="24" t="str">
        <f t="shared" si="14"/>
        <v>ea</v>
      </c>
      <c r="E73" s="233">
        <f t="shared" si="15"/>
        <v>52.5</v>
      </c>
      <c r="F73" s="225">
        <f t="shared" si="16"/>
        <v>17</v>
      </c>
      <c r="G73" s="227"/>
      <c r="H73" s="227"/>
      <c r="I73" s="167">
        <f t="shared" ref="I73:I107" si="20">IF(ISBLANK(G73),F73,F73+G73)-H73</f>
        <v>17</v>
      </c>
      <c r="J73" s="162">
        <f t="shared" si="17"/>
        <v>892.5</v>
      </c>
      <c r="K73" s="162">
        <f t="shared" si="18"/>
        <v>0</v>
      </c>
      <c r="L73" s="162">
        <f t="shared" si="19"/>
        <v>0</v>
      </c>
      <c r="M73" s="162">
        <f t="shared" ref="M73:M75" si="21">SUM(J73:K73)-L73</f>
        <v>892.5</v>
      </c>
      <c r="N73" s="180"/>
      <c r="P73" s="165"/>
    </row>
    <row r="74" spans="1:16">
      <c r="A74" s="251" t="s">
        <v>272</v>
      </c>
      <c r="B74" s="23" t="str">
        <f t="shared" si="13"/>
        <v>Modular Block Retaining Wall</v>
      </c>
      <c r="C74" s="137"/>
      <c r="D74" s="24" t="str">
        <f t="shared" si="14"/>
        <v>sf</v>
      </c>
      <c r="E74" s="233">
        <f t="shared" si="15"/>
        <v>70.349999999999994</v>
      </c>
      <c r="F74" s="225">
        <f t="shared" si="16"/>
        <v>60</v>
      </c>
      <c r="G74" s="227"/>
      <c r="H74" s="227"/>
      <c r="I74" s="167">
        <f t="shared" si="20"/>
        <v>60</v>
      </c>
      <c r="J74" s="162">
        <f t="shared" si="17"/>
        <v>4221</v>
      </c>
      <c r="K74" s="162">
        <f t="shared" si="18"/>
        <v>0</v>
      </c>
      <c r="L74" s="162">
        <f t="shared" si="19"/>
        <v>0</v>
      </c>
      <c r="M74" s="162">
        <f t="shared" si="21"/>
        <v>4221</v>
      </c>
      <c r="N74" s="180"/>
      <c r="P74" s="165"/>
    </row>
    <row r="75" spans="1:16">
      <c r="A75" s="256"/>
      <c r="B75" s="23" t="e">
        <f t="shared" si="13"/>
        <v>#N/A</v>
      </c>
      <c r="C75" s="137"/>
      <c r="D75" s="24" t="e">
        <f t="shared" si="14"/>
        <v>#N/A</v>
      </c>
      <c r="E75" s="232" t="e">
        <f t="shared" si="15"/>
        <v>#N/A</v>
      </c>
      <c r="F75" s="225" t="e">
        <f t="shared" si="16"/>
        <v>#N/A</v>
      </c>
      <c r="G75" s="227"/>
      <c r="H75" s="227"/>
      <c r="I75" s="167" t="e">
        <f t="shared" si="20"/>
        <v>#N/A</v>
      </c>
      <c r="J75" s="162">
        <f t="shared" si="17"/>
        <v>0</v>
      </c>
      <c r="K75" s="162">
        <f t="shared" si="18"/>
        <v>0</v>
      </c>
      <c r="L75" s="162">
        <f t="shared" si="19"/>
        <v>0</v>
      </c>
      <c r="M75" s="162">
        <f t="shared" si="21"/>
        <v>0</v>
      </c>
      <c r="N75" s="180"/>
      <c r="P75" s="165"/>
    </row>
    <row r="76" spans="1:16">
      <c r="A76" s="251" t="s">
        <v>273</v>
      </c>
      <c r="B76" s="23" t="str">
        <f t="shared" si="13"/>
        <v>Construction Survey/Staking</v>
      </c>
      <c r="C76" s="137"/>
      <c r="D76" s="24" t="str">
        <f t="shared" si="14"/>
        <v>ls</v>
      </c>
      <c r="E76" s="232">
        <f t="shared" si="15"/>
        <v>16065</v>
      </c>
      <c r="F76" s="225">
        <f t="shared" si="16"/>
        <v>1</v>
      </c>
      <c r="G76" s="227"/>
      <c r="H76" s="227"/>
      <c r="I76" s="167">
        <f t="shared" si="20"/>
        <v>1</v>
      </c>
      <c r="J76" s="162">
        <f>IF(ISERROR(F76*E76),0,F76*E76)</f>
        <v>16065</v>
      </c>
      <c r="K76" s="162">
        <f>IF(ISERROR(G76*E76),0,G76*E76)</f>
        <v>0</v>
      </c>
      <c r="L76" s="162">
        <f>IF(ISERROR(H76*E76),0,H76*E76)</f>
        <v>0</v>
      </c>
      <c r="M76" s="162">
        <f t="shared" ref="M76:M107" si="22">SUM(J76:K76)-L76</f>
        <v>16065</v>
      </c>
      <c r="N76" s="180"/>
      <c r="P76" s="165"/>
    </row>
    <row r="77" spans="1:16">
      <c r="A77" s="251" t="s">
        <v>274</v>
      </c>
      <c r="B77" s="23" t="str">
        <f t="shared" si="13"/>
        <v>Pedestrian Facility Construction Survey &amp; Staking</v>
      </c>
      <c r="C77" s="137"/>
      <c r="D77" s="24" t="str">
        <f t="shared" si="14"/>
        <v>ea</v>
      </c>
      <c r="E77" s="232">
        <f t="shared" si="15"/>
        <v>275</v>
      </c>
      <c r="F77" s="225">
        <f t="shared" si="16"/>
        <v>13</v>
      </c>
      <c r="G77" s="227"/>
      <c r="H77" s="227"/>
      <c r="I77" s="167">
        <f t="shared" si="20"/>
        <v>13</v>
      </c>
      <c r="J77" s="162">
        <f t="shared" ref="J77:J90" si="23">IF(ISERROR(F77*E77),0,F77*E77)</f>
        <v>3575</v>
      </c>
      <c r="K77" s="162">
        <f t="shared" ref="K77:K90" si="24">IF(ISERROR(G77*E77),0,G77*E77)</f>
        <v>0</v>
      </c>
      <c r="L77" s="162">
        <f t="shared" ref="L77:L90" si="25">IF(ISERROR(H77*E77),0,H77*E77)</f>
        <v>0</v>
      </c>
      <c r="M77" s="162">
        <f t="shared" si="22"/>
        <v>3575</v>
      </c>
      <c r="N77" s="180"/>
      <c r="P77" s="165"/>
    </row>
    <row r="78" spans="1:16">
      <c r="A78" s="251" t="s">
        <v>275</v>
      </c>
      <c r="B78" s="23" t="str">
        <f t="shared" si="13"/>
        <v>Monument Preservation or Replacement</v>
      </c>
      <c r="C78" s="137"/>
      <c r="D78" s="24" t="str">
        <f t="shared" si="14"/>
        <v>ls</v>
      </c>
      <c r="E78" s="231">
        <f t="shared" si="15"/>
        <v>2310</v>
      </c>
      <c r="F78" s="225">
        <f t="shared" si="16"/>
        <v>1</v>
      </c>
      <c r="G78" s="227"/>
      <c r="H78" s="227"/>
      <c r="I78" s="167">
        <f t="shared" si="20"/>
        <v>1</v>
      </c>
      <c r="J78" s="162">
        <f t="shared" si="23"/>
        <v>2310</v>
      </c>
      <c r="K78" s="162">
        <f t="shared" si="24"/>
        <v>0</v>
      </c>
      <c r="L78" s="162">
        <f t="shared" si="25"/>
        <v>0</v>
      </c>
      <c r="M78" s="162">
        <f t="shared" si="22"/>
        <v>2310</v>
      </c>
      <c r="N78" s="180"/>
      <c r="P78" s="165"/>
    </row>
    <row r="79" spans="1:16">
      <c r="A79" s="251" t="s">
        <v>276</v>
      </c>
      <c r="B79" s="23" t="str">
        <f t="shared" si="13"/>
        <v>Mobilization</v>
      </c>
      <c r="C79" s="137"/>
      <c r="D79" s="24" t="str">
        <f t="shared" si="14"/>
        <v>ls</v>
      </c>
      <c r="E79" s="231">
        <f t="shared" si="15"/>
        <v>35000</v>
      </c>
      <c r="F79" s="225">
        <f t="shared" si="16"/>
        <v>1</v>
      </c>
      <c r="G79" s="227"/>
      <c r="H79" s="227">
        <v>0.2</v>
      </c>
      <c r="I79" s="167">
        <f t="shared" si="20"/>
        <v>0.8</v>
      </c>
      <c r="J79" s="162">
        <f t="shared" si="23"/>
        <v>35000</v>
      </c>
      <c r="K79" s="162">
        <f t="shared" si="24"/>
        <v>0</v>
      </c>
      <c r="L79" s="162">
        <f t="shared" si="25"/>
        <v>7000</v>
      </c>
      <c r="M79" s="162">
        <f t="shared" si="22"/>
        <v>28000</v>
      </c>
      <c r="N79" s="180"/>
      <c r="P79" s="165"/>
    </row>
    <row r="80" spans="1:16">
      <c r="A80" s="251" t="s">
        <v>277</v>
      </c>
      <c r="B80" s="23" t="str">
        <f t="shared" si="13"/>
        <v>Concrete Washout</v>
      </c>
      <c r="C80" s="137"/>
      <c r="D80" s="24" t="str">
        <f t="shared" si="14"/>
        <v>ls</v>
      </c>
      <c r="E80" s="231">
        <f t="shared" si="15"/>
        <v>3900</v>
      </c>
      <c r="F80" s="225">
        <f t="shared" si="16"/>
        <v>1</v>
      </c>
      <c r="G80" s="227"/>
      <c r="H80" s="227"/>
      <c r="I80" s="167">
        <f t="shared" si="20"/>
        <v>1</v>
      </c>
      <c r="J80" s="162">
        <f t="shared" si="23"/>
        <v>3900</v>
      </c>
      <c r="K80" s="162">
        <f t="shared" si="24"/>
        <v>0</v>
      </c>
      <c r="L80" s="162">
        <f t="shared" si="25"/>
        <v>0</v>
      </c>
      <c r="M80" s="162">
        <f t="shared" si="22"/>
        <v>3900</v>
      </c>
      <c r="N80" s="180"/>
      <c r="P80" s="165"/>
    </row>
    <row r="81" spans="1:16" hidden="1">
      <c r="A81" s="256"/>
      <c r="B81" s="23" t="e">
        <f t="shared" si="13"/>
        <v>#N/A</v>
      </c>
      <c r="C81" s="137"/>
      <c r="D81" s="24" t="e">
        <f t="shared" si="14"/>
        <v>#N/A</v>
      </c>
      <c r="E81" s="231" t="e">
        <f t="shared" si="15"/>
        <v>#N/A</v>
      </c>
      <c r="F81" s="225" t="e">
        <f t="shared" si="16"/>
        <v>#N/A</v>
      </c>
      <c r="G81" s="227"/>
      <c r="H81" s="227"/>
      <c r="I81" s="167" t="e">
        <f t="shared" si="20"/>
        <v>#N/A</v>
      </c>
      <c r="J81" s="162">
        <f t="shared" si="23"/>
        <v>0</v>
      </c>
      <c r="K81" s="162">
        <f t="shared" si="24"/>
        <v>0</v>
      </c>
      <c r="L81" s="162">
        <f t="shared" si="25"/>
        <v>0</v>
      </c>
      <c r="M81" s="162">
        <f t="shared" si="22"/>
        <v>0</v>
      </c>
      <c r="N81" s="180"/>
      <c r="P81" s="165"/>
    </row>
    <row r="82" spans="1:16" hidden="1">
      <c r="A82" s="256"/>
      <c r="B82" s="23" t="e">
        <f t="shared" si="13"/>
        <v>#N/A</v>
      </c>
      <c r="C82" s="137"/>
      <c r="D82" s="24" t="e">
        <f t="shared" si="14"/>
        <v>#N/A</v>
      </c>
      <c r="E82" s="231" t="e">
        <f t="shared" si="15"/>
        <v>#N/A</v>
      </c>
      <c r="F82" s="225" t="e">
        <f t="shared" si="16"/>
        <v>#N/A</v>
      </c>
      <c r="G82" s="227"/>
      <c r="H82" s="227"/>
      <c r="I82" s="167" t="e">
        <f t="shared" si="20"/>
        <v>#N/A</v>
      </c>
      <c r="J82" s="162">
        <f t="shared" si="23"/>
        <v>0</v>
      </c>
      <c r="K82" s="162">
        <f t="shared" si="24"/>
        <v>0</v>
      </c>
      <c r="L82" s="162">
        <f t="shared" si="25"/>
        <v>0</v>
      </c>
      <c r="M82" s="162">
        <f t="shared" si="22"/>
        <v>0</v>
      </c>
      <c r="N82" s="180"/>
      <c r="P82" s="165"/>
    </row>
    <row r="83" spans="1:16" hidden="1">
      <c r="A83" s="256"/>
      <c r="B83" s="23" t="e">
        <f t="shared" si="13"/>
        <v>#N/A</v>
      </c>
      <c r="C83" s="137"/>
      <c r="D83" s="24" t="e">
        <f t="shared" si="14"/>
        <v>#N/A</v>
      </c>
      <c r="E83" s="231" t="e">
        <f t="shared" si="15"/>
        <v>#N/A</v>
      </c>
      <c r="F83" s="225" t="e">
        <f t="shared" si="16"/>
        <v>#N/A</v>
      </c>
      <c r="G83" s="227"/>
      <c r="H83" s="227"/>
      <c r="I83" s="167" t="e">
        <f t="shared" si="20"/>
        <v>#N/A</v>
      </c>
      <c r="J83" s="162">
        <f t="shared" si="23"/>
        <v>0</v>
      </c>
      <c r="K83" s="162">
        <f t="shared" si="24"/>
        <v>0</v>
      </c>
      <c r="L83" s="162">
        <f t="shared" si="25"/>
        <v>0</v>
      </c>
      <c r="M83" s="162">
        <f t="shared" si="22"/>
        <v>0</v>
      </c>
      <c r="N83" s="180"/>
      <c r="P83" s="165"/>
    </row>
    <row r="84" spans="1:16" hidden="1">
      <c r="A84" s="256"/>
      <c r="B84" s="23" t="e">
        <f t="shared" si="13"/>
        <v>#N/A</v>
      </c>
      <c r="C84" s="137"/>
      <c r="D84" s="24" t="e">
        <f t="shared" si="14"/>
        <v>#N/A</v>
      </c>
      <c r="E84" s="231" t="e">
        <f t="shared" si="15"/>
        <v>#N/A</v>
      </c>
      <c r="F84" s="225" t="e">
        <f t="shared" si="16"/>
        <v>#N/A</v>
      </c>
      <c r="G84" s="227"/>
      <c r="H84" s="227"/>
      <c r="I84" s="167" t="e">
        <f t="shared" si="20"/>
        <v>#N/A</v>
      </c>
      <c r="J84" s="162">
        <f t="shared" si="23"/>
        <v>0</v>
      </c>
      <c r="K84" s="162">
        <f t="shared" si="24"/>
        <v>0</v>
      </c>
      <c r="L84" s="162">
        <f t="shared" si="25"/>
        <v>0</v>
      </c>
      <c r="M84" s="162">
        <f t="shared" si="22"/>
        <v>0</v>
      </c>
      <c r="N84" s="180"/>
      <c r="P84" s="165"/>
    </row>
    <row r="85" spans="1:16" hidden="1">
      <c r="A85" s="256"/>
      <c r="B85" s="23" t="e">
        <f t="shared" si="13"/>
        <v>#N/A</v>
      </c>
      <c r="C85" s="137"/>
      <c r="D85" s="24" t="e">
        <f t="shared" si="14"/>
        <v>#N/A</v>
      </c>
      <c r="E85" s="231" t="e">
        <f t="shared" si="15"/>
        <v>#N/A</v>
      </c>
      <c r="F85" s="225" t="e">
        <f t="shared" si="16"/>
        <v>#N/A</v>
      </c>
      <c r="G85" s="227"/>
      <c r="H85" s="227"/>
      <c r="I85" s="167" t="e">
        <f t="shared" si="20"/>
        <v>#N/A</v>
      </c>
      <c r="J85" s="162">
        <f t="shared" si="23"/>
        <v>0</v>
      </c>
      <c r="K85" s="162">
        <f t="shared" si="24"/>
        <v>0</v>
      </c>
      <c r="L85" s="162">
        <f t="shared" si="25"/>
        <v>0</v>
      </c>
      <c r="M85" s="162">
        <f t="shared" si="22"/>
        <v>0</v>
      </c>
      <c r="N85" s="180"/>
      <c r="P85" s="165"/>
    </row>
    <row r="86" spans="1:16" hidden="1">
      <c r="A86" s="256"/>
      <c r="B86" s="23" t="e">
        <f t="shared" si="13"/>
        <v>#N/A</v>
      </c>
      <c r="C86" s="137"/>
      <c r="D86" s="24" t="e">
        <f t="shared" si="14"/>
        <v>#N/A</v>
      </c>
      <c r="E86" s="231" t="e">
        <f t="shared" si="15"/>
        <v>#N/A</v>
      </c>
      <c r="F86" s="225" t="e">
        <f t="shared" si="16"/>
        <v>#N/A</v>
      </c>
      <c r="G86" s="227"/>
      <c r="H86" s="227"/>
      <c r="I86" s="167" t="e">
        <f t="shared" si="20"/>
        <v>#N/A</v>
      </c>
      <c r="J86" s="162">
        <f t="shared" si="23"/>
        <v>0</v>
      </c>
      <c r="K86" s="162">
        <f t="shared" si="24"/>
        <v>0</v>
      </c>
      <c r="L86" s="162">
        <f t="shared" si="25"/>
        <v>0</v>
      </c>
      <c r="M86" s="162">
        <f t="shared" si="22"/>
        <v>0</v>
      </c>
      <c r="N86" s="180"/>
      <c r="P86" s="165"/>
    </row>
    <row r="87" spans="1:16" hidden="1">
      <c r="A87" s="256"/>
      <c r="B87" s="23" t="e">
        <f t="shared" si="13"/>
        <v>#N/A</v>
      </c>
      <c r="C87" s="137"/>
      <c r="D87" s="24" t="e">
        <f t="shared" si="14"/>
        <v>#N/A</v>
      </c>
      <c r="E87" s="231" t="e">
        <f t="shared" si="15"/>
        <v>#N/A</v>
      </c>
      <c r="F87" s="225" t="e">
        <f t="shared" si="16"/>
        <v>#N/A</v>
      </c>
      <c r="G87" s="227"/>
      <c r="H87" s="227"/>
      <c r="I87" s="167" t="e">
        <f t="shared" si="20"/>
        <v>#N/A</v>
      </c>
      <c r="J87" s="162">
        <f t="shared" si="23"/>
        <v>0</v>
      </c>
      <c r="K87" s="162">
        <f t="shared" si="24"/>
        <v>0</v>
      </c>
      <c r="L87" s="162">
        <f t="shared" si="25"/>
        <v>0</v>
      </c>
      <c r="M87" s="162">
        <f t="shared" si="22"/>
        <v>0</v>
      </c>
      <c r="N87" s="180"/>
      <c r="P87" s="165"/>
    </row>
    <row r="88" spans="1:16" hidden="1">
      <c r="A88" s="256"/>
      <c r="B88" s="23" t="e">
        <f t="shared" si="13"/>
        <v>#N/A</v>
      </c>
      <c r="C88" s="137"/>
      <c r="D88" s="24" t="e">
        <f t="shared" si="14"/>
        <v>#N/A</v>
      </c>
      <c r="E88" s="231" t="e">
        <f t="shared" si="15"/>
        <v>#N/A</v>
      </c>
      <c r="F88" s="225" t="e">
        <f t="shared" si="16"/>
        <v>#N/A</v>
      </c>
      <c r="G88" s="227"/>
      <c r="H88" s="227"/>
      <c r="I88" s="167" t="e">
        <f t="shared" si="20"/>
        <v>#N/A</v>
      </c>
      <c r="J88" s="162">
        <f t="shared" si="23"/>
        <v>0</v>
      </c>
      <c r="K88" s="162">
        <f t="shared" si="24"/>
        <v>0</v>
      </c>
      <c r="L88" s="162">
        <f t="shared" si="25"/>
        <v>0</v>
      </c>
      <c r="M88" s="162">
        <f t="shared" si="22"/>
        <v>0</v>
      </c>
      <c r="N88" s="180"/>
      <c r="P88" s="165"/>
    </row>
    <row r="89" spans="1:16" hidden="1">
      <c r="A89" s="256"/>
      <c r="B89" s="23" t="e">
        <f t="shared" si="13"/>
        <v>#N/A</v>
      </c>
      <c r="C89" s="137"/>
      <c r="D89" s="24" t="e">
        <f t="shared" si="14"/>
        <v>#N/A</v>
      </c>
      <c r="E89" s="231" t="e">
        <f t="shared" si="15"/>
        <v>#N/A</v>
      </c>
      <c r="F89" s="225" t="e">
        <f t="shared" si="16"/>
        <v>#N/A</v>
      </c>
      <c r="G89" s="227"/>
      <c r="H89" s="227"/>
      <c r="I89" s="167" t="e">
        <f t="shared" si="20"/>
        <v>#N/A</v>
      </c>
      <c r="J89" s="162">
        <f t="shared" si="23"/>
        <v>0</v>
      </c>
      <c r="K89" s="162">
        <f t="shared" si="24"/>
        <v>0</v>
      </c>
      <c r="L89" s="162">
        <f t="shared" si="25"/>
        <v>0</v>
      </c>
      <c r="M89" s="162">
        <f t="shared" si="22"/>
        <v>0</v>
      </c>
      <c r="N89" s="180"/>
      <c r="P89" s="165"/>
    </row>
    <row r="90" spans="1:16" hidden="1">
      <c r="A90" s="256"/>
      <c r="B90" s="23" t="e">
        <f t="shared" si="13"/>
        <v>#N/A</v>
      </c>
      <c r="C90" s="137"/>
      <c r="D90" s="24" t="e">
        <f t="shared" si="14"/>
        <v>#N/A</v>
      </c>
      <c r="E90" s="231" t="e">
        <f t="shared" si="15"/>
        <v>#N/A</v>
      </c>
      <c r="F90" s="225" t="e">
        <f t="shared" si="16"/>
        <v>#N/A</v>
      </c>
      <c r="G90" s="227"/>
      <c r="H90" s="227"/>
      <c r="I90" s="167" t="e">
        <f t="shared" si="20"/>
        <v>#N/A</v>
      </c>
      <c r="J90" s="162">
        <f t="shared" si="23"/>
        <v>0</v>
      </c>
      <c r="K90" s="162">
        <f t="shared" si="24"/>
        <v>0</v>
      </c>
      <c r="L90" s="162">
        <f t="shared" si="25"/>
        <v>0</v>
      </c>
      <c r="M90" s="162">
        <f t="shared" si="22"/>
        <v>0</v>
      </c>
      <c r="N90" s="180"/>
      <c r="P90" s="165"/>
    </row>
    <row r="91" spans="1:16" hidden="1">
      <c r="A91" s="256"/>
      <c r="B91" s="23" t="e">
        <f t="shared" si="13"/>
        <v>#N/A</v>
      </c>
      <c r="C91" s="137"/>
      <c r="D91" s="24" t="e">
        <f t="shared" si="14"/>
        <v>#N/A</v>
      </c>
      <c r="E91" s="231" t="e">
        <f t="shared" si="15"/>
        <v>#N/A</v>
      </c>
      <c r="F91" s="225" t="e">
        <f t="shared" si="16"/>
        <v>#N/A</v>
      </c>
      <c r="G91" s="227"/>
      <c r="H91" s="227"/>
      <c r="I91" s="167" t="e">
        <f t="shared" si="20"/>
        <v>#N/A</v>
      </c>
      <c r="J91" s="162">
        <f t="shared" ref="J91:J107" si="26">IF(ISERROR(F91*E91),0,F91*E91)</f>
        <v>0</v>
      </c>
      <c r="K91" s="162">
        <f t="shared" ref="K91:K107" si="27">IF(ISERROR(G91*E91),0,G91*E91)</f>
        <v>0</v>
      </c>
      <c r="L91" s="162">
        <f t="shared" ref="L91:L107" si="28">IF(ISERROR(H91*E91),0,H91*E91)</f>
        <v>0</v>
      </c>
      <c r="M91" s="162">
        <f t="shared" si="22"/>
        <v>0</v>
      </c>
      <c r="N91" s="180"/>
      <c r="P91" s="165"/>
    </row>
    <row r="92" spans="1:16" hidden="1">
      <c r="A92" s="256"/>
      <c r="B92" s="23" t="e">
        <f t="shared" si="13"/>
        <v>#N/A</v>
      </c>
      <c r="C92" s="137"/>
      <c r="D92" s="24" t="e">
        <f t="shared" si="14"/>
        <v>#N/A</v>
      </c>
      <c r="E92" s="231" t="e">
        <f t="shared" si="15"/>
        <v>#N/A</v>
      </c>
      <c r="F92" s="225" t="e">
        <f t="shared" si="16"/>
        <v>#N/A</v>
      </c>
      <c r="G92" s="227"/>
      <c r="H92" s="227"/>
      <c r="I92" s="167" t="e">
        <f t="shared" si="20"/>
        <v>#N/A</v>
      </c>
      <c r="J92" s="162">
        <f t="shared" si="26"/>
        <v>0</v>
      </c>
      <c r="K92" s="162">
        <f t="shared" si="27"/>
        <v>0</v>
      </c>
      <c r="L92" s="162">
        <f t="shared" si="28"/>
        <v>0</v>
      </c>
      <c r="M92" s="162">
        <f t="shared" si="22"/>
        <v>0</v>
      </c>
      <c r="N92" s="180"/>
      <c r="P92" s="165"/>
    </row>
    <row r="93" spans="1:16" hidden="1">
      <c r="A93" s="256"/>
      <c r="B93" s="23" t="e">
        <f t="shared" si="13"/>
        <v>#N/A</v>
      </c>
      <c r="C93" s="137"/>
      <c r="D93" s="24" t="e">
        <f t="shared" si="14"/>
        <v>#N/A</v>
      </c>
      <c r="E93" s="231" t="e">
        <f t="shared" si="15"/>
        <v>#N/A</v>
      </c>
      <c r="F93" s="225" t="e">
        <f t="shared" si="16"/>
        <v>#N/A</v>
      </c>
      <c r="G93" s="227"/>
      <c r="H93" s="227"/>
      <c r="I93" s="167" t="e">
        <f t="shared" si="20"/>
        <v>#N/A</v>
      </c>
      <c r="J93" s="162">
        <f t="shared" si="26"/>
        <v>0</v>
      </c>
      <c r="K93" s="162">
        <f t="shared" si="27"/>
        <v>0</v>
      </c>
      <c r="L93" s="162">
        <f t="shared" si="28"/>
        <v>0</v>
      </c>
      <c r="M93" s="162">
        <f t="shared" si="22"/>
        <v>0</v>
      </c>
      <c r="N93" s="180"/>
      <c r="P93" s="165"/>
    </row>
    <row r="94" spans="1:16" hidden="1">
      <c r="A94" s="256"/>
      <c r="B94" s="23" t="e">
        <f t="shared" si="13"/>
        <v>#N/A</v>
      </c>
      <c r="C94" s="137"/>
      <c r="D94" s="24" t="e">
        <f t="shared" si="14"/>
        <v>#N/A</v>
      </c>
      <c r="E94" s="231" t="e">
        <f t="shared" si="15"/>
        <v>#N/A</v>
      </c>
      <c r="F94" s="225" t="e">
        <f t="shared" si="16"/>
        <v>#N/A</v>
      </c>
      <c r="G94" s="227"/>
      <c r="H94" s="227"/>
      <c r="I94" s="167" t="e">
        <f t="shared" si="20"/>
        <v>#N/A</v>
      </c>
      <c r="J94" s="162">
        <f t="shared" si="26"/>
        <v>0</v>
      </c>
      <c r="K94" s="162">
        <f t="shared" si="27"/>
        <v>0</v>
      </c>
      <c r="L94" s="162">
        <f t="shared" si="28"/>
        <v>0</v>
      </c>
      <c r="M94" s="162">
        <f t="shared" si="22"/>
        <v>0</v>
      </c>
      <c r="N94" s="180"/>
      <c r="P94" s="165"/>
    </row>
    <row r="95" spans="1:16" hidden="1">
      <c r="A95" s="256"/>
      <c r="B95" s="23" t="e">
        <f t="shared" si="13"/>
        <v>#N/A</v>
      </c>
      <c r="C95" s="137"/>
      <c r="D95" s="24" t="e">
        <f t="shared" si="14"/>
        <v>#N/A</v>
      </c>
      <c r="E95" s="231" t="e">
        <f t="shared" si="15"/>
        <v>#N/A</v>
      </c>
      <c r="F95" s="225" t="e">
        <f t="shared" si="16"/>
        <v>#N/A</v>
      </c>
      <c r="G95" s="227"/>
      <c r="H95" s="227"/>
      <c r="I95" s="167" t="e">
        <f t="shared" si="20"/>
        <v>#N/A</v>
      </c>
      <c r="J95" s="162">
        <f t="shared" si="26"/>
        <v>0</v>
      </c>
      <c r="K95" s="162">
        <f t="shared" si="27"/>
        <v>0</v>
      </c>
      <c r="L95" s="162">
        <f t="shared" si="28"/>
        <v>0</v>
      </c>
      <c r="M95" s="162">
        <f t="shared" si="22"/>
        <v>0</v>
      </c>
      <c r="N95" s="180"/>
      <c r="P95" s="165"/>
    </row>
    <row r="96" spans="1:16" hidden="1">
      <c r="A96" s="256"/>
      <c r="B96" s="23" t="e">
        <f t="shared" si="13"/>
        <v>#N/A</v>
      </c>
      <c r="C96" s="137"/>
      <c r="D96" s="24" t="e">
        <f t="shared" si="14"/>
        <v>#N/A</v>
      </c>
      <c r="E96" s="231" t="e">
        <f t="shared" si="15"/>
        <v>#N/A</v>
      </c>
      <c r="F96" s="225" t="e">
        <f t="shared" si="16"/>
        <v>#N/A</v>
      </c>
      <c r="G96" s="227"/>
      <c r="H96" s="227"/>
      <c r="I96" s="167" t="e">
        <f t="shared" si="20"/>
        <v>#N/A</v>
      </c>
      <c r="J96" s="162">
        <f t="shared" si="26"/>
        <v>0</v>
      </c>
      <c r="K96" s="162">
        <f t="shared" si="27"/>
        <v>0</v>
      </c>
      <c r="L96" s="162">
        <f t="shared" si="28"/>
        <v>0</v>
      </c>
      <c r="M96" s="162">
        <f t="shared" si="22"/>
        <v>0</v>
      </c>
      <c r="N96" s="180"/>
      <c r="P96" s="165"/>
    </row>
    <row r="97" spans="1:18" hidden="1">
      <c r="A97" s="256"/>
      <c r="B97" s="23" t="e">
        <f t="shared" si="13"/>
        <v>#N/A</v>
      </c>
      <c r="C97" s="137"/>
      <c r="D97" s="24" t="e">
        <f t="shared" si="14"/>
        <v>#N/A</v>
      </c>
      <c r="E97" s="231" t="e">
        <f t="shared" si="15"/>
        <v>#N/A</v>
      </c>
      <c r="F97" s="225" t="e">
        <f t="shared" si="16"/>
        <v>#N/A</v>
      </c>
      <c r="G97" s="227"/>
      <c r="H97" s="227"/>
      <c r="I97" s="167" t="e">
        <f t="shared" si="20"/>
        <v>#N/A</v>
      </c>
      <c r="J97" s="162">
        <f t="shared" si="26"/>
        <v>0</v>
      </c>
      <c r="K97" s="162">
        <f t="shared" si="27"/>
        <v>0</v>
      </c>
      <c r="L97" s="162">
        <f t="shared" si="28"/>
        <v>0</v>
      </c>
      <c r="M97" s="162">
        <f t="shared" si="22"/>
        <v>0</v>
      </c>
      <c r="N97" s="180"/>
      <c r="P97" s="165"/>
    </row>
    <row r="98" spans="1:18" hidden="1">
      <c r="A98" s="256"/>
      <c r="B98" s="23" t="e">
        <f t="shared" si="13"/>
        <v>#N/A</v>
      </c>
      <c r="C98" s="137"/>
      <c r="D98" s="24" t="e">
        <f t="shared" si="14"/>
        <v>#N/A</v>
      </c>
      <c r="E98" s="231" t="e">
        <f t="shared" si="15"/>
        <v>#N/A</v>
      </c>
      <c r="F98" s="225" t="e">
        <f t="shared" si="16"/>
        <v>#N/A</v>
      </c>
      <c r="G98" s="227"/>
      <c r="H98" s="227"/>
      <c r="I98" s="167" t="e">
        <f t="shared" si="20"/>
        <v>#N/A</v>
      </c>
      <c r="J98" s="162">
        <f t="shared" si="26"/>
        <v>0</v>
      </c>
      <c r="K98" s="162">
        <f t="shared" si="27"/>
        <v>0</v>
      </c>
      <c r="L98" s="162">
        <f t="shared" si="28"/>
        <v>0</v>
      </c>
      <c r="M98" s="162">
        <f t="shared" si="22"/>
        <v>0</v>
      </c>
      <c r="N98" s="180"/>
      <c r="P98" s="165"/>
    </row>
    <row r="99" spans="1:18" hidden="1">
      <c r="A99" s="256"/>
      <c r="B99" s="23" t="e">
        <f t="shared" si="13"/>
        <v>#N/A</v>
      </c>
      <c r="C99" s="137"/>
      <c r="D99" s="24" t="e">
        <f t="shared" si="14"/>
        <v>#N/A</v>
      </c>
      <c r="E99" s="231" t="e">
        <f t="shared" si="15"/>
        <v>#N/A</v>
      </c>
      <c r="F99" s="225" t="e">
        <f t="shared" si="16"/>
        <v>#N/A</v>
      </c>
      <c r="G99" s="227"/>
      <c r="H99" s="227"/>
      <c r="I99" s="167" t="e">
        <f t="shared" si="20"/>
        <v>#N/A</v>
      </c>
      <c r="J99" s="162">
        <f t="shared" si="26"/>
        <v>0</v>
      </c>
      <c r="K99" s="162">
        <f t="shared" si="27"/>
        <v>0</v>
      </c>
      <c r="L99" s="162">
        <f t="shared" si="28"/>
        <v>0</v>
      </c>
      <c r="M99" s="162">
        <f t="shared" si="22"/>
        <v>0</v>
      </c>
      <c r="N99" s="180"/>
      <c r="P99" s="165"/>
    </row>
    <row r="100" spans="1:18" hidden="1">
      <c r="A100" s="256"/>
      <c r="B100" s="23" t="e">
        <f t="shared" si="13"/>
        <v>#N/A</v>
      </c>
      <c r="C100" s="137"/>
      <c r="D100" s="24" t="e">
        <f t="shared" si="14"/>
        <v>#N/A</v>
      </c>
      <c r="E100" s="231" t="e">
        <f t="shared" si="15"/>
        <v>#N/A</v>
      </c>
      <c r="F100" s="225" t="e">
        <f t="shared" si="16"/>
        <v>#N/A</v>
      </c>
      <c r="G100" s="227"/>
      <c r="H100" s="227"/>
      <c r="I100" s="167" t="e">
        <f t="shared" si="20"/>
        <v>#N/A</v>
      </c>
      <c r="J100" s="162">
        <f t="shared" si="26"/>
        <v>0</v>
      </c>
      <c r="K100" s="162">
        <f t="shared" si="27"/>
        <v>0</v>
      </c>
      <c r="L100" s="162">
        <f t="shared" si="28"/>
        <v>0</v>
      </c>
      <c r="M100" s="162">
        <f t="shared" si="22"/>
        <v>0</v>
      </c>
      <c r="N100" s="180"/>
      <c r="P100" s="165"/>
    </row>
    <row r="101" spans="1:18" hidden="1">
      <c r="A101" s="256"/>
      <c r="B101" s="23" t="e">
        <f t="shared" si="13"/>
        <v>#N/A</v>
      </c>
      <c r="C101" s="137"/>
      <c r="D101" s="24" t="e">
        <f t="shared" si="14"/>
        <v>#N/A</v>
      </c>
      <c r="E101" s="231" t="e">
        <f t="shared" si="15"/>
        <v>#N/A</v>
      </c>
      <c r="F101" s="225" t="e">
        <f t="shared" si="16"/>
        <v>#N/A</v>
      </c>
      <c r="G101" s="227"/>
      <c r="H101" s="227"/>
      <c r="I101" s="167" t="e">
        <f t="shared" si="20"/>
        <v>#N/A</v>
      </c>
      <c r="J101" s="162">
        <f t="shared" si="26"/>
        <v>0</v>
      </c>
      <c r="K101" s="162">
        <f t="shared" si="27"/>
        <v>0</v>
      </c>
      <c r="L101" s="162">
        <f t="shared" si="28"/>
        <v>0</v>
      </c>
      <c r="M101" s="162">
        <f t="shared" si="22"/>
        <v>0</v>
      </c>
      <c r="N101" s="180"/>
      <c r="P101" s="165"/>
    </row>
    <row r="102" spans="1:18" hidden="1">
      <c r="A102" s="256"/>
      <c r="B102" s="23" t="e">
        <f t="shared" si="13"/>
        <v>#N/A</v>
      </c>
      <c r="C102" s="137"/>
      <c r="D102" s="24" t="e">
        <f t="shared" si="14"/>
        <v>#N/A</v>
      </c>
      <c r="E102" s="231" t="e">
        <f t="shared" si="15"/>
        <v>#N/A</v>
      </c>
      <c r="F102" s="225" t="e">
        <f t="shared" si="16"/>
        <v>#N/A</v>
      </c>
      <c r="G102" s="227"/>
      <c r="H102" s="227"/>
      <c r="I102" s="167" t="e">
        <f t="shared" si="20"/>
        <v>#N/A</v>
      </c>
      <c r="J102" s="162">
        <f t="shared" si="26"/>
        <v>0</v>
      </c>
      <c r="K102" s="162">
        <f t="shared" si="27"/>
        <v>0</v>
      </c>
      <c r="L102" s="162">
        <f t="shared" si="28"/>
        <v>0</v>
      </c>
      <c r="M102" s="162">
        <f t="shared" si="22"/>
        <v>0</v>
      </c>
      <c r="N102" s="180"/>
      <c r="P102" s="165"/>
    </row>
    <row r="103" spans="1:18" hidden="1">
      <c r="A103" s="256"/>
      <c r="B103" s="23" t="e">
        <f t="shared" si="13"/>
        <v>#N/A</v>
      </c>
      <c r="C103" s="137"/>
      <c r="D103" s="24" t="e">
        <f t="shared" si="14"/>
        <v>#N/A</v>
      </c>
      <c r="E103" s="231" t="e">
        <f t="shared" si="15"/>
        <v>#N/A</v>
      </c>
      <c r="F103" s="225" t="e">
        <f t="shared" si="16"/>
        <v>#N/A</v>
      </c>
      <c r="G103" s="227"/>
      <c r="H103" s="227"/>
      <c r="I103" s="167" t="e">
        <f t="shared" si="20"/>
        <v>#N/A</v>
      </c>
      <c r="J103" s="162">
        <f t="shared" si="26"/>
        <v>0</v>
      </c>
      <c r="K103" s="162">
        <f t="shared" si="27"/>
        <v>0</v>
      </c>
      <c r="L103" s="162">
        <f t="shared" si="28"/>
        <v>0</v>
      </c>
      <c r="M103" s="162">
        <f t="shared" si="22"/>
        <v>0</v>
      </c>
      <c r="N103" s="180"/>
      <c r="P103" s="165"/>
    </row>
    <row r="104" spans="1:18" hidden="1">
      <c r="A104" s="256"/>
      <c r="B104" s="23" t="e">
        <f t="shared" si="13"/>
        <v>#N/A</v>
      </c>
      <c r="C104" s="137"/>
      <c r="D104" s="24" t="e">
        <f t="shared" si="14"/>
        <v>#N/A</v>
      </c>
      <c r="E104" s="231" t="e">
        <f t="shared" si="15"/>
        <v>#N/A</v>
      </c>
      <c r="F104" s="225" t="e">
        <f t="shared" si="16"/>
        <v>#N/A</v>
      </c>
      <c r="G104" s="227"/>
      <c r="H104" s="227"/>
      <c r="I104" s="167" t="e">
        <f t="shared" si="20"/>
        <v>#N/A</v>
      </c>
      <c r="J104" s="162">
        <f t="shared" si="26"/>
        <v>0</v>
      </c>
      <c r="K104" s="162">
        <f t="shared" si="27"/>
        <v>0</v>
      </c>
      <c r="L104" s="162">
        <f t="shared" si="28"/>
        <v>0</v>
      </c>
      <c r="M104" s="162">
        <f t="shared" si="22"/>
        <v>0</v>
      </c>
      <c r="N104" s="180"/>
      <c r="P104" s="165"/>
    </row>
    <row r="105" spans="1:18" hidden="1">
      <c r="A105" s="256"/>
      <c r="B105" s="23" t="e">
        <f t="shared" si="13"/>
        <v>#N/A</v>
      </c>
      <c r="C105" s="137"/>
      <c r="D105" s="24" t="e">
        <f t="shared" si="14"/>
        <v>#N/A</v>
      </c>
      <c r="E105" s="231" t="e">
        <f t="shared" si="15"/>
        <v>#N/A</v>
      </c>
      <c r="F105" s="225" t="e">
        <f t="shared" si="16"/>
        <v>#N/A</v>
      </c>
      <c r="G105" s="227"/>
      <c r="H105" s="227"/>
      <c r="I105" s="167" t="e">
        <f t="shared" si="20"/>
        <v>#N/A</v>
      </c>
      <c r="J105" s="162">
        <f t="shared" si="26"/>
        <v>0</v>
      </c>
      <c r="K105" s="162">
        <f t="shared" si="27"/>
        <v>0</v>
      </c>
      <c r="L105" s="162">
        <f t="shared" si="28"/>
        <v>0</v>
      </c>
      <c r="M105" s="162">
        <f t="shared" si="22"/>
        <v>0</v>
      </c>
      <c r="N105" s="180"/>
      <c r="P105" s="165"/>
    </row>
    <row r="106" spans="1:18" hidden="1">
      <c r="A106" s="256"/>
      <c r="B106" s="23" t="e">
        <f t="shared" si="13"/>
        <v>#N/A</v>
      </c>
      <c r="C106" s="137"/>
      <c r="D106" s="24" t="e">
        <f t="shared" si="14"/>
        <v>#N/A</v>
      </c>
      <c r="E106" s="231" t="e">
        <f t="shared" si="15"/>
        <v>#N/A</v>
      </c>
      <c r="F106" s="225" t="e">
        <f t="shared" si="16"/>
        <v>#N/A</v>
      </c>
      <c r="G106" s="227"/>
      <c r="H106" s="227"/>
      <c r="I106" s="167" t="e">
        <f t="shared" si="20"/>
        <v>#N/A</v>
      </c>
      <c r="J106" s="162">
        <f t="shared" si="26"/>
        <v>0</v>
      </c>
      <c r="K106" s="162">
        <f t="shared" si="27"/>
        <v>0</v>
      </c>
      <c r="L106" s="162">
        <f t="shared" si="28"/>
        <v>0</v>
      </c>
      <c r="M106" s="162">
        <f t="shared" si="22"/>
        <v>0</v>
      </c>
      <c r="N106" s="180"/>
      <c r="P106" s="165"/>
    </row>
    <row r="107" spans="1:18" hidden="1">
      <c r="A107" s="256"/>
      <c r="B107" s="23" t="e">
        <f t="shared" si="13"/>
        <v>#N/A</v>
      </c>
      <c r="C107" s="137"/>
      <c r="D107" s="24" t="e">
        <f t="shared" si="14"/>
        <v>#N/A</v>
      </c>
      <c r="E107" s="231" t="e">
        <f t="shared" si="15"/>
        <v>#N/A</v>
      </c>
      <c r="F107" s="225" t="e">
        <f t="shared" si="16"/>
        <v>#N/A</v>
      </c>
      <c r="G107" s="227"/>
      <c r="H107" s="227"/>
      <c r="I107" s="167" t="e">
        <f t="shared" si="20"/>
        <v>#N/A</v>
      </c>
      <c r="J107" s="162">
        <f t="shared" si="26"/>
        <v>0</v>
      </c>
      <c r="K107" s="162">
        <f t="shared" si="27"/>
        <v>0</v>
      </c>
      <c r="L107" s="162">
        <f t="shared" si="28"/>
        <v>0</v>
      </c>
      <c r="M107" s="162">
        <f t="shared" si="22"/>
        <v>0</v>
      </c>
      <c r="N107" s="180"/>
      <c r="P107" s="165"/>
    </row>
    <row r="108" spans="1:18" ht="13.5" thickBot="1">
      <c r="A108" s="257"/>
      <c r="B108" s="181"/>
      <c r="C108" s="181"/>
      <c r="D108" s="182"/>
      <c r="E108" s="183"/>
      <c r="F108" s="228"/>
      <c r="G108" s="229"/>
      <c r="H108" s="229"/>
      <c r="I108" s="230"/>
      <c r="J108" s="183"/>
      <c r="K108" s="183"/>
      <c r="L108" s="183"/>
      <c r="M108" s="184"/>
      <c r="N108" s="180"/>
      <c r="P108" s="165"/>
    </row>
    <row r="109" spans="1:18" ht="13.5" thickTop="1">
      <c r="A109" s="258"/>
      <c r="B109" s="137"/>
      <c r="C109" s="137"/>
      <c r="D109" s="139"/>
      <c r="E109" s="142"/>
      <c r="F109" s="142"/>
      <c r="I109" s="185" t="s">
        <v>115</v>
      </c>
      <c r="J109" s="186">
        <f>SUM(J8:J108)</f>
        <v>1828001.355</v>
      </c>
      <c r="K109" s="187"/>
      <c r="L109" s="188">
        <f>SUM(L8:L108)</f>
        <v>100583.05</v>
      </c>
      <c r="M109" s="189">
        <f>SUM(M8:M108)</f>
        <v>1727418.3049999999</v>
      </c>
      <c r="N109" s="137"/>
      <c r="P109" s="165"/>
    </row>
    <row r="110" spans="1:18">
      <c r="A110" s="258" t="s">
        <v>56</v>
      </c>
      <c r="B110" s="137"/>
      <c r="C110" s="137"/>
      <c r="D110" s="139"/>
      <c r="E110" s="137" t="s">
        <v>57</v>
      </c>
      <c r="F110" s="137"/>
      <c r="G110" s="199" t="s">
        <v>119</v>
      </c>
      <c r="H110" s="142"/>
      <c r="K110" s="141"/>
      <c r="L110" s="141"/>
      <c r="M110" s="141" t="s">
        <v>63</v>
      </c>
      <c r="N110" s="165"/>
      <c r="O110" s="145">
        <f>L109</f>
        <v>100583.05</v>
      </c>
      <c r="P110" s="165"/>
    </row>
    <row r="111" spans="1:18">
      <c r="A111" s="258"/>
      <c r="B111" s="137"/>
      <c r="E111" t="str">
        <f>'PROJECT INFO'!F16</f>
        <v>384-8101-439-7517</v>
      </c>
      <c r="F111"/>
      <c r="G111" s="217">
        <f>'PROJECT INFO'!C16</f>
        <v>0</v>
      </c>
      <c r="H111" s="347">
        <f>15143.25-O112</f>
        <v>10114.1</v>
      </c>
      <c r="I111" t="str">
        <f>'PROJECT INFO'!J16</f>
        <v>(NTE $1,004,711.76)</v>
      </c>
      <c r="L111" s="141"/>
      <c r="M111" s="141" t="s">
        <v>58</v>
      </c>
      <c r="N111" s="165"/>
      <c r="O111" s="145">
        <v>0</v>
      </c>
      <c r="P111" s="165"/>
    </row>
    <row r="112" spans="1:18">
      <c r="A112" s="259" t="s">
        <v>85</v>
      </c>
      <c r="B112" s="190"/>
      <c r="C112" s="190"/>
      <c r="D112" s="207"/>
      <c r="E112" s="344" t="str">
        <f>'PROJECT INFO'!F17</f>
        <v>607-7704-39-7517</v>
      </c>
      <c r="F112" s="344"/>
      <c r="G112" s="217">
        <f>'PROJECT INFO'!C17</f>
        <v>0</v>
      </c>
      <c r="H112" s="347"/>
      <c r="I112" t="str">
        <f>'PROJECT INFO'!J17</f>
        <v>(NTE $300,000.00)</v>
      </c>
      <c r="L112" s="141"/>
      <c r="M112" s="141" t="str">
        <f>IF(Q112="Y","LESS: 3% RETAINED (MAX $30,000):","LESS: 5% RETAINED:")</f>
        <v>LESS: 5% RETAINED:</v>
      </c>
      <c r="N112" s="165"/>
      <c r="O112" s="145">
        <f>IF(Q112="Y",IF(0.03*O110&lt;30000,ROUND(0.03*O110,2),30000),ROUND(0.05*O110,2))</f>
        <v>5029.1499999999996</v>
      </c>
      <c r="P112" s="165"/>
      <c r="Q112" s="191" t="s">
        <v>106</v>
      </c>
      <c r="R112" s="192" t="s">
        <v>107</v>
      </c>
    </row>
    <row r="113" spans="1:17">
      <c r="A113" s="258"/>
      <c r="B113" s="137"/>
      <c r="E113" s="345" t="str">
        <f>'PROJECT INFO'!F18</f>
        <v>510-8461489-7514</v>
      </c>
      <c r="F113" s="345"/>
      <c r="G113" s="217">
        <f>'PROJECT INFO'!C18</f>
        <v>0</v>
      </c>
      <c r="H113" s="347"/>
      <c r="I113" t="str">
        <f>'PROJECT INFO'!J18</f>
        <v>(NTE $360,255.50)</v>
      </c>
      <c r="L113" s="141"/>
      <c r="M113" s="141" t="s">
        <v>59</v>
      </c>
      <c r="N113" s="165"/>
      <c r="O113" s="145">
        <f>O110+O111-O112</f>
        <v>95553.900000000009</v>
      </c>
      <c r="P113" s="165"/>
    </row>
    <row r="114" spans="1:17">
      <c r="A114" s="259" t="s">
        <v>60</v>
      </c>
      <c r="B114" s="190"/>
      <c r="C114" s="190"/>
      <c r="D114" s="207"/>
      <c r="E114" s="346" t="str">
        <f>'PROJECT INFO'!F19</f>
        <v>520-8542-489-7514</v>
      </c>
      <c r="F114" s="346"/>
      <c r="G114" s="217">
        <f>'PROJECT INFO'!C19</f>
        <v>0</v>
      </c>
      <c r="H114" s="347">
        <v>85439.8</v>
      </c>
      <c r="I114" t="str">
        <f>'PROJECT INFO'!J19</f>
        <v>(NTE $163,034.10)</v>
      </c>
      <c r="L114" s="141"/>
      <c r="M114" s="141" t="s">
        <v>61</v>
      </c>
      <c r="N114" s="165"/>
      <c r="O114" s="145">
        <f>O32</f>
        <v>0</v>
      </c>
      <c r="P114" s="165"/>
    </row>
    <row r="115" spans="1:17">
      <c r="A115" s="258"/>
      <c r="B115" s="137"/>
      <c r="E115">
        <f>'PROJECT INFO'!F20</f>
        <v>0</v>
      </c>
      <c r="F115"/>
      <c r="G115" s="217">
        <f>'PROJECT INFO'!C20</f>
        <v>0</v>
      </c>
      <c r="H115" s="208"/>
      <c r="I115" t="str">
        <f>'PROJECT INFO'!J20</f>
        <v>(NTE $00.00)</v>
      </c>
      <c r="L115" s="193"/>
      <c r="M115" s="193" t="s">
        <v>62</v>
      </c>
      <c r="N115" s="194"/>
      <c r="O115" s="195">
        <f>O113-O114</f>
        <v>95553.900000000009</v>
      </c>
      <c r="P115" s="165"/>
    </row>
    <row r="116" spans="1:17">
      <c r="A116" s="258"/>
      <c r="B116" s="137"/>
      <c r="C116" s="137"/>
      <c r="D116" s="139"/>
      <c r="E116">
        <f>'PROJECT INFO'!F21</f>
        <v>0</v>
      </c>
      <c r="F116"/>
      <c r="G116" s="217">
        <f>'PROJECT INFO'!C21</f>
        <v>0</v>
      </c>
      <c r="H116" s="208"/>
      <c r="I116" t="str">
        <f>'PROJECT INFO'!J21</f>
        <v>(NTE $00.00)</v>
      </c>
      <c r="K116" s="137"/>
      <c r="L116" s="137"/>
      <c r="M116" s="137"/>
      <c r="N116" s="137"/>
      <c r="O116" s="137"/>
      <c r="P116" s="165"/>
    </row>
    <row r="117" spans="1:17">
      <c r="E117">
        <f>'PROJECT INFO'!F22</f>
        <v>0</v>
      </c>
      <c r="F117"/>
      <c r="G117" s="217">
        <f>'PROJECT INFO'!C22</f>
        <v>0</v>
      </c>
      <c r="H117" s="208"/>
      <c r="I117" t="str">
        <f>'PROJECT INFO'!J22</f>
        <v>(NTE $00.00)</v>
      </c>
    </row>
    <row r="118" spans="1:17">
      <c r="E118">
        <f>'PROJECT INFO'!F23</f>
        <v>0</v>
      </c>
      <c r="F118"/>
      <c r="G118" s="217">
        <f>'PROJECT INFO'!C23</f>
        <v>0</v>
      </c>
      <c r="H118" s="208"/>
      <c r="I118" t="str">
        <f>'PROJECT INFO'!J23</f>
        <v>(NTE $00.00)</v>
      </c>
    </row>
    <row r="119" spans="1:17">
      <c r="D119" s="139"/>
      <c r="E119">
        <f>'PROJECT INFO'!F24</f>
        <v>0</v>
      </c>
      <c r="F119"/>
      <c r="G119" s="217">
        <f>'PROJECT INFO'!C24</f>
        <v>0</v>
      </c>
      <c r="H119" s="208"/>
      <c r="I119" t="str">
        <f>'PROJECT INFO'!J24</f>
        <v>(NTE $00.00)</v>
      </c>
    </row>
    <row r="120" spans="1:17">
      <c r="D120" s="139"/>
      <c r="E120">
        <f>'PROJECT INFO'!F25</f>
        <v>0</v>
      </c>
      <c r="F120"/>
      <c r="G120" s="217">
        <f>'PROJECT INFO'!C25</f>
        <v>0</v>
      </c>
      <c r="H120" s="208"/>
      <c r="I120" t="str">
        <f>'PROJECT INFO'!J25</f>
        <v>(NTE $00.00)</v>
      </c>
    </row>
    <row r="121" spans="1:17">
      <c r="A121" s="261" t="s">
        <v>122</v>
      </c>
      <c r="D121" s="139"/>
      <c r="E121" s="142"/>
      <c r="K121" s="200"/>
      <c r="L121" s="200"/>
      <c r="M121" s="201" t="s">
        <v>108</v>
      </c>
      <c r="N121" s="200"/>
      <c r="O121" s="202">
        <f>O5-O32</f>
        <v>1828001.36</v>
      </c>
      <c r="Q121" s="140" t="s">
        <v>121</v>
      </c>
    </row>
    <row r="122" spans="1:17">
      <c r="D122" s="139"/>
      <c r="E122" s="142"/>
      <c r="K122" s="200"/>
      <c r="L122" s="200"/>
      <c r="M122" s="203" t="s">
        <v>109</v>
      </c>
      <c r="N122" s="204"/>
      <c r="O122" s="205">
        <f>O121-O115</f>
        <v>1732447.4600000002</v>
      </c>
    </row>
    <row r="123" spans="1:17">
      <c r="E123" s="142"/>
    </row>
    <row r="124" spans="1:17">
      <c r="E124" s="142"/>
    </row>
    <row r="125" spans="1:17">
      <c r="E125" s="142"/>
    </row>
    <row r="126" spans="1:17">
      <c r="E126" s="142"/>
    </row>
    <row r="127" spans="1:17">
      <c r="E127" s="142"/>
    </row>
    <row r="128" spans="1:17">
      <c r="E128" s="142"/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C148" s="137"/>
      <c r="E148" s="142"/>
    </row>
    <row r="149" spans="3:5">
      <c r="E149" s="142"/>
    </row>
    <row r="150" spans="3:5">
      <c r="E150" s="142"/>
    </row>
  </sheetData>
  <phoneticPr fontId="2" type="noConversion"/>
  <conditionalFormatting sqref="B8:I107">
    <cfRule type="expression" dxfId="35" priority="9">
      <formula>ISERROR(B8)</formula>
    </cfRule>
  </conditionalFormatting>
  <conditionalFormatting sqref="E111:F120 H111:H120">
    <cfRule type="expression" dxfId="34" priority="11">
      <formula>ISTEXT($E111)</formula>
    </cfRule>
  </conditionalFormatting>
  <conditionalFormatting sqref="E111:I120">
    <cfRule type="expression" dxfId="33" priority="1">
      <formula>ISNUMBER($E111)</formula>
    </cfRule>
  </conditionalFormatting>
  <conditionalFormatting sqref="K8:K107">
    <cfRule type="cellIs" dxfId="32" priority="10" operator="equal">
      <formula>0</formula>
    </cfRule>
  </conditionalFormatting>
  <pageMargins left="0.25" right="0.25" top="0.25" bottom="0.25" header="0.15" footer="0.15"/>
  <pageSetup scale="54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D26F1-3C68-4A2F-B429-FFBE3FC14281}">
  <sheetPr codeName="Sheet5">
    <pageSetUpPr autoPageBreaks="0" fitToPage="1"/>
  </sheetPr>
  <dimension ref="A1:R150"/>
  <sheetViews>
    <sheetView showOutlineSymbols="0" topLeftCell="A61" zoomScale="80" zoomScaleNormal="80" zoomScaleSheetLayoutView="100" workbookViewId="0">
      <selection activeCell="L14" sqref="L14:L16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2" width="13.710937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6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6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6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6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2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6">
      <c r="A5" s="137"/>
      <c r="B5" s="137"/>
      <c r="C5" s="143" t="str">
        <f>Contractor_Address2</f>
        <v>Ames, IA 50010</v>
      </c>
      <c r="F5" s="138" t="s">
        <v>46</v>
      </c>
      <c r="G5" s="146">
        <v>45421</v>
      </c>
      <c r="I5" s="147"/>
      <c r="J5" s="148"/>
      <c r="L5" s="141"/>
      <c r="M5" s="141" t="s">
        <v>47</v>
      </c>
      <c r="N5" s="139"/>
      <c r="O5" s="145">
        <f>SUM(O4+O19)</f>
        <v>1830101.36</v>
      </c>
      <c r="P5" s="137"/>
    </row>
    <row r="6" spans="1:16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6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6">
      <c r="A8" s="256"/>
      <c r="B8" s="23" t="e">
        <f t="shared" ref="B8:B72" si="0">VLOOKUP($A8,BIDTAB,2,FALSE)</f>
        <v>#N/A</v>
      </c>
      <c r="C8" s="137"/>
      <c r="D8" s="24" t="e">
        <f t="shared" ref="D8:D72" si="1">VLOOKUP($A8,BIDTAB,3,FALSE)</f>
        <v>#N/A</v>
      </c>
      <c r="E8" s="231" t="e">
        <f t="shared" ref="E8:E72" si="2">VLOOKUP($A8,BIDTAB,7,FALSE)</f>
        <v>#N/A</v>
      </c>
      <c r="F8" s="223" t="e">
        <f t="shared" ref="F8:F72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2" si="4">IF(ISERROR(F8*E8),0,F8*E8)</f>
        <v>0</v>
      </c>
      <c r="K8" s="162">
        <f t="shared" ref="K8:K72" si="5">IF(ISERROR(G8*E8),0,G8*E8)</f>
        <v>0</v>
      </c>
      <c r="L8" s="162">
        <f t="shared" ref="L8:L72" si="6">IF(ISERROR(H8*E8),0,H8*E8)</f>
        <v>0</v>
      </c>
      <c r="M8" s="162">
        <f>SUM(J8:K8)-L8</f>
        <v>0</v>
      </c>
      <c r="N8" s="163" t="s">
        <v>53</v>
      </c>
      <c r="O8" s="164"/>
      <c r="P8" s="165"/>
    </row>
    <row r="9" spans="1:16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/>
      <c r="I9" s="167">
        <f t="shared" ref="I9:I73" si="7">IF(ISBLANK(G9),F9,F9+G9)-H9</f>
        <v>991.3</v>
      </c>
      <c r="J9" s="162">
        <f t="shared" si="4"/>
        <v>27756.399999999998</v>
      </c>
      <c r="K9" s="162">
        <f t="shared" si="5"/>
        <v>0</v>
      </c>
      <c r="L9" s="162">
        <f t="shared" si="6"/>
        <v>0</v>
      </c>
      <c r="M9" s="162">
        <f t="shared" ref="M9:M73" si="8">SUM(J9:K9)-L9</f>
        <v>27756.399999999998</v>
      </c>
      <c r="N9" s="168"/>
      <c r="O9" s="169"/>
      <c r="P9" s="165"/>
    </row>
    <row r="10" spans="1:16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/>
      <c r="I10" s="167">
        <f t="shared" si="7"/>
        <v>3053.5</v>
      </c>
      <c r="J10" s="162">
        <f t="shared" si="4"/>
        <v>61070</v>
      </c>
      <c r="K10" s="162">
        <f t="shared" si="5"/>
        <v>0</v>
      </c>
      <c r="L10" s="162">
        <f t="shared" si="6"/>
        <v>0</v>
      </c>
      <c r="M10" s="162">
        <f t="shared" si="8"/>
        <v>61070</v>
      </c>
      <c r="N10" s="170">
        <v>1</v>
      </c>
      <c r="O10" s="352">
        <v>2100</v>
      </c>
      <c r="P10" s="165"/>
    </row>
    <row r="11" spans="1:16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/>
      <c r="I11" s="167">
        <f t="shared" si="7"/>
        <v>11990</v>
      </c>
      <c r="J11" s="162">
        <f t="shared" si="4"/>
        <v>38967.5</v>
      </c>
      <c r="K11" s="162">
        <f t="shared" si="5"/>
        <v>0</v>
      </c>
      <c r="L11" s="162">
        <f t="shared" si="6"/>
        <v>0</v>
      </c>
      <c r="M11" s="162">
        <f t="shared" si="8"/>
        <v>38967.5</v>
      </c>
      <c r="N11" s="171">
        <v>2</v>
      </c>
      <c r="O11" s="238"/>
      <c r="P11" s="165"/>
    </row>
    <row r="12" spans="1:16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/>
      <c r="I12" s="167">
        <f t="shared" si="7"/>
        <v>11990</v>
      </c>
      <c r="J12" s="162">
        <f t="shared" si="4"/>
        <v>107910</v>
      </c>
      <c r="K12" s="162">
        <f t="shared" si="5"/>
        <v>0</v>
      </c>
      <c r="L12" s="162">
        <f t="shared" si="6"/>
        <v>0</v>
      </c>
      <c r="M12" s="162">
        <f t="shared" si="8"/>
        <v>107910</v>
      </c>
      <c r="N12" s="171">
        <v>3</v>
      </c>
      <c r="O12" s="238"/>
      <c r="P12" s="165"/>
    </row>
    <row r="13" spans="1:16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</row>
    <row r="14" spans="1:16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263</v>
      </c>
      <c r="I14" s="305">
        <f t="shared" si="7"/>
        <v>315</v>
      </c>
      <c r="J14" s="306">
        <f t="shared" si="4"/>
        <v>42483</v>
      </c>
      <c r="K14" s="306">
        <f t="shared" si="5"/>
        <v>0</v>
      </c>
      <c r="L14" s="306">
        <f t="shared" si="6"/>
        <v>19330.5</v>
      </c>
      <c r="M14" s="306">
        <f t="shared" si="8"/>
        <v>23152.5</v>
      </c>
      <c r="N14" s="171">
        <v>5</v>
      </c>
      <c r="O14" s="238"/>
      <c r="P14" s="165"/>
    </row>
    <row r="15" spans="1:16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10</v>
      </c>
      <c r="I15" s="305">
        <f t="shared" si="7"/>
        <v>2</v>
      </c>
      <c r="J15" s="306">
        <f t="shared" si="4"/>
        <v>25200</v>
      </c>
      <c r="K15" s="306">
        <f t="shared" si="5"/>
        <v>0</v>
      </c>
      <c r="L15" s="306">
        <f t="shared" si="6"/>
        <v>21000</v>
      </c>
      <c r="M15" s="306">
        <f t="shared" si="8"/>
        <v>4200</v>
      </c>
      <c r="N15" s="171">
        <v>6</v>
      </c>
      <c r="O15" s="238"/>
      <c r="P15" s="165"/>
    </row>
    <row r="16" spans="1:16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263</v>
      </c>
      <c r="I16" s="305">
        <f t="shared" si="7"/>
        <v>315</v>
      </c>
      <c r="J16" s="306">
        <f t="shared" si="4"/>
        <v>12138</v>
      </c>
      <c r="K16" s="306">
        <f t="shared" si="5"/>
        <v>0</v>
      </c>
      <c r="L16" s="306">
        <f t="shared" si="6"/>
        <v>5523</v>
      </c>
      <c r="M16" s="306">
        <f t="shared" si="8"/>
        <v>6615</v>
      </c>
      <c r="N16" s="171">
        <v>7</v>
      </c>
      <c r="O16" s="238"/>
      <c r="P16" s="165"/>
    </row>
    <row r="17" spans="1:16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412</v>
      </c>
      <c r="I17" s="167">
        <f t="shared" si="7"/>
        <v>114</v>
      </c>
      <c r="J17" s="162">
        <f t="shared" si="4"/>
        <v>38661</v>
      </c>
      <c r="K17" s="162">
        <f t="shared" si="5"/>
        <v>0</v>
      </c>
      <c r="L17" s="162">
        <f t="shared" si="6"/>
        <v>30282</v>
      </c>
      <c r="M17" s="162">
        <f t="shared" si="8"/>
        <v>8379</v>
      </c>
      <c r="N17" s="171">
        <v>8</v>
      </c>
      <c r="O17" s="238"/>
      <c r="P17" s="165"/>
    </row>
    <row r="18" spans="1:16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412</v>
      </c>
      <c r="I18" s="167">
        <f t="shared" si="7"/>
        <v>114</v>
      </c>
      <c r="J18" s="162">
        <f t="shared" si="4"/>
        <v>11046</v>
      </c>
      <c r="K18" s="162">
        <f t="shared" si="5"/>
        <v>0</v>
      </c>
      <c r="L18" s="162">
        <f t="shared" si="6"/>
        <v>8652</v>
      </c>
      <c r="M18" s="162">
        <f t="shared" si="8"/>
        <v>2394</v>
      </c>
      <c r="N18" s="172"/>
      <c r="O18" s="239" t="s">
        <v>10</v>
      </c>
      <c r="P18" s="165"/>
    </row>
    <row r="19" spans="1:16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0</v>
      </c>
      <c r="I19" s="167">
        <f t="shared" si="7"/>
        <v>200</v>
      </c>
      <c r="J19" s="162">
        <f t="shared" si="4"/>
        <v>5100</v>
      </c>
      <c r="K19" s="162">
        <f t="shared" si="5"/>
        <v>0</v>
      </c>
      <c r="L19" s="162">
        <f t="shared" si="6"/>
        <v>0</v>
      </c>
      <c r="M19" s="162">
        <f t="shared" si="8"/>
        <v>5100</v>
      </c>
      <c r="N19" s="173"/>
      <c r="O19" s="240">
        <f>SUM(O10:O17)</f>
        <v>2100</v>
      </c>
      <c r="P19" s="165"/>
    </row>
    <row r="20" spans="1:16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0</v>
      </c>
      <c r="I20" s="167">
        <f t="shared" si="7"/>
        <v>1</v>
      </c>
      <c r="J20" s="162">
        <f t="shared" si="4"/>
        <v>850</v>
      </c>
      <c r="K20" s="162">
        <f t="shared" si="5"/>
        <v>0</v>
      </c>
      <c r="L20" s="162">
        <f t="shared" si="6"/>
        <v>0</v>
      </c>
      <c r="M20" s="162">
        <f t="shared" si="8"/>
        <v>850</v>
      </c>
      <c r="N20" s="174"/>
      <c r="O20" s="241"/>
      <c r="P20" s="165"/>
    </row>
    <row r="21" spans="1:16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3</v>
      </c>
      <c r="I21" s="167">
        <f t="shared" si="7"/>
        <v>-2</v>
      </c>
      <c r="J21" s="162">
        <f t="shared" si="4"/>
        <v>600</v>
      </c>
      <c r="K21" s="162">
        <f t="shared" si="5"/>
        <v>0</v>
      </c>
      <c r="L21" s="162">
        <f t="shared" si="6"/>
        <v>1800</v>
      </c>
      <c r="M21" s="162">
        <f t="shared" si="8"/>
        <v>-1200</v>
      </c>
      <c r="N21" s="175" t="s">
        <v>54</v>
      </c>
      <c r="O21" s="242"/>
      <c r="P21" s="165"/>
    </row>
    <row r="22" spans="1:16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</row>
    <row r="23" spans="1:16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</row>
    <row r="24" spans="1:16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</row>
    <row r="25" spans="1:16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</row>
    <row r="26" spans="1:16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11</v>
      </c>
      <c r="I26" s="295">
        <f t="shared" si="7"/>
        <v>13</v>
      </c>
      <c r="J26" s="296">
        <f t="shared" si="4"/>
        <v>2520</v>
      </c>
      <c r="K26" s="296">
        <f t="shared" si="5"/>
        <v>0</v>
      </c>
      <c r="L26" s="296">
        <f t="shared" si="6"/>
        <v>1155</v>
      </c>
      <c r="M26" s="296">
        <f t="shared" si="8"/>
        <v>1365</v>
      </c>
      <c r="N26" s="171">
        <v>2</v>
      </c>
      <c r="O26" s="239"/>
      <c r="P26" s="165"/>
    </row>
    <row r="27" spans="1:16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/>
      <c r="P27" s="165"/>
    </row>
    <row r="28" spans="1:16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/>
      <c r="P28" s="165"/>
    </row>
    <row r="29" spans="1:16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/>
      <c r="P29" s="165"/>
    </row>
    <row r="30" spans="1:16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/>
      <c r="P30" s="165"/>
    </row>
    <row r="31" spans="1:16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2</v>
      </c>
      <c r="I31" s="295">
        <f t="shared" si="7"/>
        <v>3</v>
      </c>
      <c r="J31" s="296">
        <f t="shared" si="4"/>
        <v>2625</v>
      </c>
      <c r="K31" s="296">
        <f t="shared" si="5"/>
        <v>0</v>
      </c>
      <c r="L31" s="296">
        <f t="shared" si="6"/>
        <v>1050</v>
      </c>
      <c r="M31" s="296">
        <f t="shared" si="8"/>
        <v>1575</v>
      </c>
      <c r="N31" s="177">
        <v>7</v>
      </c>
      <c r="O31" s="244"/>
      <c r="P31" s="165"/>
    </row>
    <row r="32" spans="1:16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</row>
    <row r="33" spans="1:16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3</v>
      </c>
      <c r="I33" s="295">
        <f t="shared" si="7"/>
        <v>-2</v>
      </c>
      <c r="J33" s="296">
        <f t="shared" si="4"/>
        <v>420</v>
      </c>
      <c r="K33" s="296">
        <f t="shared" si="5"/>
        <v>0</v>
      </c>
      <c r="L33" s="296">
        <f t="shared" si="6"/>
        <v>1260</v>
      </c>
      <c r="M33" s="296">
        <f t="shared" si="8"/>
        <v>-840</v>
      </c>
      <c r="N33" s="179"/>
      <c r="O33" s="246">
        <f>SUM(O25:O31)</f>
        <v>95553.900000000009</v>
      </c>
      <c r="P33" s="165"/>
    </row>
    <row r="34" spans="1:16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1</v>
      </c>
      <c r="I34" s="295">
        <f t="shared" si="7"/>
        <v>0</v>
      </c>
      <c r="J34" s="296">
        <f t="shared" si="4"/>
        <v>420</v>
      </c>
      <c r="K34" s="296">
        <f t="shared" si="5"/>
        <v>0</v>
      </c>
      <c r="L34" s="296">
        <f t="shared" si="6"/>
        <v>420</v>
      </c>
      <c r="M34" s="296">
        <f t="shared" si="8"/>
        <v>0</v>
      </c>
      <c r="N34" s="180"/>
      <c r="P34" s="165"/>
    </row>
    <row r="35" spans="1:16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</row>
    <row r="36" spans="1:16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</row>
    <row r="37" spans="1:16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/>
      <c r="I37" s="295">
        <f t="shared" si="7"/>
        <v>15</v>
      </c>
      <c r="J37" s="296">
        <f t="shared" si="4"/>
        <v>63000</v>
      </c>
      <c r="K37" s="296">
        <f t="shared" si="5"/>
        <v>0</v>
      </c>
      <c r="L37" s="296">
        <f t="shared" si="6"/>
        <v>0</v>
      </c>
      <c r="M37" s="296">
        <f t="shared" si="8"/>
        <v>63000</v>
      </c>
      <c r="N37" s="180"/>
      <c r="P37" s="165"/>
    </row>
    <row r="38" spans="1:16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/>
      <c r="I38" s="295">
        <f t="shared" si="7"/>
        <v>15</v>
      </c>
      <c r="J38" s="296">
        <f t="shared" si="4"/>
        <v>47250</v>
      </c>
      <c r="K38" s="296">
        <f t="shared" si="5"/>
        <v>0</v>
      </c>
      <c r="L38" s="296">
        <f t="shared" si="6"/>
        <v>0</v>
      </c>
      <c r="M38" s="296">
        <f t="shared" si="8"/>
        <v>47250</v>
      </c>
      <c r="N38" s="180"/>
      <c r="P38" s="165"/>
    </row>
    <row r="39" spans="1:16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</row>
    <row r="40" spans="1:16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1</v>
      </c>
      <c r="I40" s="295">
        <f t="shared" si="7"/>
        <v>1</v>
      </c>
      <c r="J40" s="296">
        <f t="shared" si="4"/>
        <v>3150</v>
      </c>
      <c r="K40" s="296">
        <f t="shared" si="5"/>
        <v>0</v>
      </c>
      <c r="L40" s="296">
        <f t="shared" si="6"/>
        <v>1575</v>
      </c>
      <c r="M40" s="296">
        <f t="shared" si="8"/>
        <v>1575</v>
      </c>
      <c r="N40" s="180"/>
      <c r="P40" s="165"/>
    </row>
    <row r="41" spans="1:16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4</v>
      </c>
      <c r="I41" s="295">
        <f t="shared" si="7"/>
        <v>1</v>
      </c>
      <c r="J41" s="296">
        <f t="shared" si="4"/>
        <v>42000</v>
      </c>
      <c r="K41" s="296">
        <f t="shared" si="5"/>
        <v>0</v>
      </c>
      <c r="L41" s="296">
        <f t="shared" si="6"/>
        <v>33600</v>
      </c>
      <c r="M41" s="296">
        <f t="shared" si="8"/>
        <v>8400</v>
      </c>
      <c r="N41" s="180"/>
      <c r="P41" s="165"/>
    </row>
    <row r="42" spans="1:16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0</v>
      </c>
      <c r="I42" s="295">
        <f t="shared" si="7"/>
        <v>10</v>
      </c>
      <c r="J42" s="296">
        <f t="shared" si="4"/>
        <v>6500</v>
      </c>
      <c r="K42" s="296">
        <f t="shared" si="5"/>
        <v>0</v>
      </c>
      <c r="L42" s="296">
        <f t="shared" si="6"/>
        <v>0</v>
      </c>
      <c r="M42" s="296">
        <f t="shared" si="8"/>
        <v>6500</v>
      </c>
      <c r="N42" s="180"/>
      <c r="P42" s="165"/>
    </row>
    <row r="43" spans="1:16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1</v>
      </c>
      <c r="I43" s="295">
        <f t="shared" si="7"/>
        <v>3</v>
      </c>
      <c r="J43" s="296">
        <f t="shared" si="4"/>
        <v>4200</v>
      </c>
      <c r="K43" s="296">
        <f t="shared" si="5"/>
        <v>0</v>
      </c>
      <c r="L43" s="296">
        <f t="shared" si="6"/>
        <v>1050</v>
      </c>
      <c r="M43" s="296">
        <f t="shared" si="8"/>
        <v>3150</v>
      </c>
      <c r="N43" s="180"/>
      <c r="P43" s="165"/>
    </row>
    <row r="44" spans="1:16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1</v>
      </c>
      <c r="I44" s="295">
        <f t="shared" si="7"/>
        <v>1</v>
      </c>
      <c r="J44" s="296">
        <f t="shared" si="4"/>
        <v>1050</v>
      </c>
      <c r="K44" s="296">
        <f t="shared" si="5"/>
        <v>0</v>
      </c>
      <c r="L44" s="296">
        <f t="shared" si="6"/>
        <v>525</v>
      </c>
      <c r="M44" s="296">
        <f t="shared" si="8"/>
        <v>525</v>
      </c>
      <c r="N44" s="180"/>
      <c r="P44" s="165"/>
    </row>
    <row r="45" spans="1:16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0</v>
      </c>
      <c r="I45" s="295">
        <f t="shared" si="7"/>
        <v>12</v>
      </c>
      <c r="J45" s="296">
        <f t="shared" si="4"/>
        <v>6300</v>
      </c>
      <c r="K45" s="296">
        <f t="shared" si="5"/>
        <v>0</v>
      </c>
      <c r="L45" s="296">
        <f t="shared" si="6"/>
        <v>0</v>
      </c>
      <c r="M45" s="296">
        <f t="shared" si="8"/>
        <v>6300</v>
      </c>
      <c r="N45" s="180"/>
      <c r="P45" s="165"/>
    </row>
    <row r="46" spans="1:16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</row>
    <row r="47" spans="1:16">
      <c r="A47" s="287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4</v>
      </c>
      <c r="I47" s="305">
        <f t="shared" si="7"/>
        <v>4</v>
      </c>
      <c r="J47" s="306">
        <f t="shared" si="4"/>
        <v>74741.600000000006</v>
      </c>
      <c r="K47" s="306">
        <f t="shared" si="5"/>
        <v>0</v>
      </c>
      <c r="L47" s="306">
        <f t="shared" si="6"/>
        <v>37370.800000000003</v>
      </c>
      <c r="M47" s="306">
        <f t="shared" si="8"/>
        <v>37370.800000000003</v>
      </c>
      <c r="N47" s="180"/>
      <c r="P47" s="165"/>
    </row>
    <row r="48" spans="1:16">
      <c r="A48" s="251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0</v>
      </c>
      <c r="I48" s="167">
        <f t="shared" si="7"/>
        <v>1</v>
      </c>
      <c r="J48" s="162">
        <f t="shared" si="4"/>
        <v>9532.36</v>
      </c>
      <c r="K48" s="162">
        <f t="shared" si="5"/>
        <v>0</v>
      </c>
      <c r="L48" s="162">
        <f t="shared" si="6"/>
        <v>0</v>
      </c>
      <c r="M48" s="162">
        <f t="shared" si="8"/>
        <v>9532.36</v>
      </c>
      <c r="N48" s="180"/>
      <c r="P48" s="165"/>
    </row>
    <row r="49" spans="1:16">
      <c r="A49" s="251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2</v>
      </c>
      <c r="I49" s="167">
        <f t="shared" si="7"/>
        <v>5</v>
      </c>
      <c r="J49" s="162">
        <f t="shared" si="4"/>
        <v>24746.12</v>
      </c>
      <c r="K49" s="162">
        <f t="shared" si="5"/>
        <v>0</v>
      </c>
      <c r="L49" s="162">
        <f t="shared" si="6"/>
        <v>7070.32</v>
      </c>
      <c r="M49" s="162">
        <f t="shared" si="8"/>
        <v>17675.8</v>
      </c>
      <c r="N49" s="180"/>
      <c r="P49" s="165"/>
    </row>
    <row r="50" spans="1:16">
      <c r="A50" s="283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/>
      <c r="I50" s="167">
        <f t="shared" si="7"/>
        <v>2</v>
      </c>
      <c r="J50" s="162">
        <f t="shared" si="4"/>
        <v>14549.7</v>
      </c>
      <c r="K50" s="162">
        <f t="shared" si="5"/>
        <v>0</v>
      </c>
      <c r="L50" s="162">
        <f t="shared" si="6"/>
        <v>0</v>
      </c>
      <c r="M50" s="162">
        <f t="shared" si="8"/>
        <v>14549.7</v>
      </c>
      <c r="N50" s="180"/>
      <c r="P50" s="165"/>
    </row>
    <row r="51" spans="1:16">
      <c r="A51" s="287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/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</row>
    <row r="52" spans="1:16">
      <c r="A52" s="287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/>
      <c r="I52" s="305">
        <f t="shared" si="7"/>
        <v>1</v>
      </c>
      <c r="J52" s="306">
        <f t="shared" si="4"/>
        <v>5250</v>
      </c>
      <c r="K52" s="306">
        <f t="shared" si="5"/>
        <v>0</v>
      </c>
      <c r="L52" s="306">
        <f t="shared" si="6"/>
        <v>0</v>
      </c>
      <c r="M52" s="306">
        <f t="shared" si="8"/>
        <v>5250</v>
      </c>
      <c r="N52" s="180"/>
      <c r="P52" s="165"/>
    </row>
    <row r="53" spans="1:16">
      <c r="A53" s="326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/>
      <c r="I53" s="333">
        <f t="shared" si="7"/>
        <v>3</v>
      </c>
      <c r="J53" s="334">
        <f t="shared" si="4"/>
        <v>3709.5</v>
      </c>
      <c r="K53" s="334">
        <f t="shared" si="5"/>
        <v>0</v>
      </c>
      <c r="L53" s="334">
        <f t="shared" si="6"/>
        <v>0</v>
      </c>
      <c r="M53" s="334">
        <f t="shared" si="8"/>
        <v>3709.5</v>
      </c>
      <c r="N53" s="180"/>
      <c r="P53" s="165"/>
    </row>
    <row r="54" spans="1:16">
      <c r="A54" s="287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4</v>
      </c>
      <c r="I54" s="305">
        <f t="shared" si="7"/>
        <v>5</v>
      </c>
      <c r="J54" s="306">
        <f t="shared" si="4"/>
        <v>9450</v>
      </c>
      <c r="K54" s="306">
        <f t="shared" si="5"/>
        <v>0</v>
      </c>
      <c r="L54" s="306">
        <f t="shared" si="6"/>
        <v>4200</v>
      </c>
      <c r="M54" s="306">
        <f t="shared" si="8"/>
        <v>5250</v>
      </c>
      <c r="N54" s="180"/>
      <c r="P54" s="165"/>
    </row>
    <row r="55" spans="1:16">
      <c r="A55" s="251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0</v>
      </c>
      <c r="I55" s="167">
        <f t="shared" si="7"/>
        <v>1</v>
      </c>
      <c r="J55" s="162">
        <f t="shared" si="4"/>
        <v>1050</v>
      </c>
      <c r="K55" s="162">
        <f t="shared" si="5"/>
        <v>0</v>
      </c>
      <c r="L55" s="162">
        <f t="shared" si="6"/>
        <v>0</v>
      </c>
      <c r="M55" s="162">
        <f t="shared" si="8"/>
        <v>1050</v>
      </c>
      <c r="N55" s="180"/>
      <c r="P55" s="165"/>
    </row>
    <row r="56" spans="1:16">
      <c r="A56" s="251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2</v>
      </c>
      <c r="I56" s="167">
        <f t="shared" si="7"/>
        <v>7</v>
      </c>
      <c r="J56" s="162">
        <f t="shared" si="4"/>
        <v>9450</v>
      </c>
      <c r="K56" s="162">
        <f t="shared" si="5"/>
        <v>0</v>
      </c>
      <c r="L56" s="162">
        <f t="shared" si="6"/>
        <v>2100</v>
      </c>
      <c r="M56" s="162">
        <f t="shared" si="8"/>
        <v>7350</v>
      </c>
      <c r="N56" s="180"/>
      <c r="P56" s="165"/>
    </row>
    <row r="57" spans="1:16">
      <c r="A57" s="256"/>
      <c r="B57" s="23" t="e">
        <f t="shared" si="0"/>
        <v>#N/A</v>
      </c>
      <c r="C57" s="137"/>
      <c r="D57" s="24" t="e">
        <f t="shared" si="1"/>
        <v>#N/A</v>
      </c>
      <c r="E57" s="231" t="e">
        <f t="shared" si="2"/>
        <v>#N/A</v>
      </c>
      <c r="F57" s="225" t="e">
        <f t="shared" si="3"/>
        <v>#N/A</v>
      </c>
      <c r="G57" s="227"/>
      <c r="H57" s="227"/>
      <c r="I57" s="167" t="e">
        <f t="shared" si="7"/>
        <v>#N/A</v>
      </c>
      <c r="J57" s="162">
        <f t="shared" si="4"/>
        <v>0</v>
      </c>
      <c r="K57" s="162">
        <f t="shared" si="5"/>
        <v>0</v>
      </c>
      <c r="L57" s="162">
        <f t="shared" si="6"/>
        <v>0</v>
      </c>
      <c r="M57" s="162">
        <f t="shared" si="8"/>
        <v>0</v>
      </c>
      <c r="N57" s="180"/>
      <c r="P57" s="165"/>
    </row>
    <row r="58" spans="1:16">
      <c r="A58" s="316" t="s">
        <v>258</v>
      </c>
      <c r="B58" s="325" t="str">
        <f t="shared" si="0"/>
        <v>Curb &amp; Gutter, 30" width, 12" thickness</v>
      </c>
      <c r="C58" s="337"/>
      <c r="D58" s="338" t="str">
        <f t="shared" si="1"/>
        <v>lf</v>
      </c>
      <c r="E58" s="339">
        <f t="shared" si="2"/>
        <v>35</v>
      </c>
      <c r="F58" s="340">
        <f t="shared" si="3"/>
        <v>5300</v>
      </c>
      <c r="G58" s="341"/>
      <c r="H58" s="341"/>
      <c r="I58" s="342">
        <f t="shared" si="7"/>
        <v>5300</v>
      </c>
      <c r="J58" s="343">
        <f t="shared" si="4"/>
        <v>185500</v>
      </c>
      <c r="K58" s="343">
        <f t="shared" si="5"/>
        <v>0</v>
      </c>
      <c r="L58" s="343">
        <f t="shared" si="6"/>
        <v>0</v>
      </c>
      <c r="M58" s="343">
        <f t="shared" si="8"/>
        <v>185500</v>
      </c>
      <c r="N58" s="180"/>
      <c r="P58" s="165"/>
    </row>
    <row r="59" spans="1:16">
      <c r="A59" s="251" t="s">
        <v>259</v>
      </c>
      <c r="B59" s="23" t="str">
        <f t="shared" si="0"/>
        <v>Pavement, HMA, Base, 5" depth</v>
      </c>
      <c r="C59" s="137"/>
      <c r="D59" s="24" t="str">
        <f t="shared" si="1"/>
        <v>ton</v>
      </c>
      <c r="E59" s="231">
        <f t="shared" si="2"/>
        <v>103</v>
      </c>
      <c r="F59" s="225">
        <f t="shared" si="3"/>
        <v>2844.8</v>
      </c>
      <c r="G59" s="227"/>
      <c r="H59" s="227"/>
      <c r="I59" s="167">
        <f t="shared" si="7"/>
        <v>2844.8</v>
      </c>
      <c r="J59" s="162">
        <f t="shared" si="4"/>
        <v>293014.40000000002</v>
      </c>
      <c r="K59" s="162">
        <f t="shared" si="5"/>
        <v>0</v>
      </c>
      <c r="L59" s="162">
        <f t="shared" si="6"/>
        <v>0</v>
      </c>
      <c r="M59" s="162">
        <f t="shared" si="8"/>
        <v>293014.40000000002</v>
      </c>
      <c r="N59" s="180"/>
      <c r="P59" s="165"/>
    </row>
    <row r="60" spans="1:16">
      <c r="A60" s="251" t="s">
        <v>260</v>
      </c>
      <c r="B60" s="23" t="str">
        <f t="shared" si="0"/>
        <v>Pavement, HMA, Surface, 2" depth</v>
      </c>
      <c r="C60" s="137"/>
      <c r="D60" s="24" t="str">
        <f t="shared" si="1"/>
        <v>ton</v>
      </c>
      <c r="E60" s="231">
        <f t="shared" si="2"/>
        <v>108</v>
      </c>
      <c r="F60" s="225">
        <f t="shared" si="3"/>
        <v>1144.4000000000001</v>
      </c>
      <c r="G60" s="227"/>
      <c r="H60" s="227"/>
      <c r="I60" s="167">
        <f t="shared" si="7"/>
        <v>1144.4000000000001</v>
      </c>
      <c r="J60" s="162">
        <f t="shared" si="4"/>
        <v>123595.20000000001</v>
      </c>
      <c r="K60" s="162">
        <f t="shared" si="5"/>
        <v>0</v>
      </c>
      <c r="L60" s="162">
        <f t="shared" si="6"/>
        <v>0</v>
      </c>
      <c r="M60" s="162">
        <f t="shared" si="8"/>
        <v>123595.20000000001</v>
      </c>
      <c r="N60" s="180"/>
      <c r="P60" s="165"/>
    </row>
    <row r="61" spans="1:16">
      <c r="A61" s="251" t="s">
        <v>261</v>
      </c>
      <c r="B61" s="23" t="str">
        <f t="shared" si="0"/>
        <v>Removal of Sidewalk/Driveway</v>
      </c>
      <c r="C61" s="137"/>
      <c r="D61" s="24" t="str">
        <f t="shared" si="1"/>
        <v>sy</v>
      </c>
      <c r="E61" s="231">
        <f t="shared" si="2"/>
        <v>10.75</v>
      </c>
      <c r="F61" s="225">
        <f t="shared" si="3"/>
        <v>1191.7</v>
      </c>
      <c r="G61" s="227"/>
      <c r="H61" s="227">
        <v>99</v>
      </c>
      <c r="I61" s="167">
        <f t="shared" si="7"/>
        <v>1092.7</v>
      </c>
      <c r="J61" s="162">
        <f t="shared" si="4"/>
        <v>12810.775</v>
      </c>
      <c r="K61" s="162">
        <f t="shared" si="5"/>
        <v>0</v>
      </c>
      <c r="L61" s="162">
        <f t="shared" si="6"/>
        <v>1064.25</v>
      </c>
      <c r="M61" s="162">
        <f t="shared" si="8"/>
        <v>11746.525</v>
      </c>
      <c r="N61" s="180"/>
      <c r="P61" s="165"/>
    </row>
    <row r="62" spans="1:16">
      <c r="A62" s="316" t="s">
        <v>262</v>
      </c>
      <c r="B62" s="325" t="str">
        <f t="shared" si="0"/>
        <v>Sidewalk/Drive, PCC, 6"/4" depth</v>
      </c>
      <c r="C62" s="337"/>
      <c r="D62" s="338" t="str">
        <f t="shared" si="1"/>
        <v>sy</v>
      </c>
      <c r="E62" s="339">
        <f t="shared" si="2"/>
        <v>94</v>
      </c>
      <c r="F62" s="340">
        <f t="shared" si="3"/>
        <v>1293</v>
      </c>
      <c r="G62" s="341"/>
      <c r="H62" s="341"/>
      <c r="I62" s="342">
        <f t="shared" si="7"/>
        <v>1293</v>
      </c>
      <c r="J62" s="343">
        <f t="shared" si="4"/>
        <v>121542</v>
      </c>
      <c r="K62" s="343">
        <f t="shared" si="5"/>
        <v>0</v>
      </c>
      <c r="L62" s="343">
        <f t="shared" si="6"/>
        <v>0</v>
      </c>
      <c r="M62" s="343">
        <f t="shared" si="8"/>
        <v>121542</v>
      </c>
      <c r="N62" s="180"/>
      <c r="P62" s="165"/>
    </row>
    <row r="63" spans="1:16">
      <c r="A63" s="251" t="s">
        <v>263</v>
      </c>
      <c r="B63" s="23" t="str">
        <f t="shared" si="0"/>
        <v>Detectable Warning</v>
      </c>
      <c r="C63" s="137"/>
      <c r="D63" s="24" t="str">
        <f t="shared" si="1"/>
        <v>sf</v>
      </c>
      <c r="E63" s="231">
        <f t="shared" si="2"/>
        <v>45</v>
      </c>
      <c r="F63" s="225">
        <f t="shared" si="3"/>
        <v>263</v>
      </c>
      <c r="G63" s="227"/>
      <c r="H63" s="227"/>
      <c r="I63" s="167">
        <f t="shared" si="7"/>
        <v>263</v>
      </c>
      <c r="J63" s="162">
        <f t="shared" si="4"/>
        <v>11835</v>
      </c>
      <c r="K63" s="162">
        <f t="shared" si="5"/>
        <v>0</v>
      </c>
      <c r="L63" s="162">
        <f t="shared" si="6"/>
        <v>0</v>
      </c>
      <c r="M63" s="162">
        <f t="shared" si="8"/>
        <v>11835</v>
      </c>
      <c r="N63" s="180"/>
      <c r="P63" s="165"/>
    </row>
    <row r="64" spans="1:16">
      <c r="A64" s="251" t="s">
        <v>264</v>
      </c>
      <c r="B64" s="23" t="str">
        <f t="shared" si="0"/>
        <v>Full Depth Patch, PCC</v>
      </c>
      <c r="C64" s="137"/>
      <c r="D64" s="24" t="str">
        <f t="shared" si="1"/>
        <v>sy</v>
      </c>
      <c r="E64" s="231">
        <f t="shared" si="2"/>
        <v>112</v>
      </c>
      <c r="F64" s="225">
        <f t="shared" si="3"/>
        <v>44.2</v>
      </c>
      <c r="G64" s="227"/>
      <c r="H64" s="227"/>
      <c r="I64" s="167">
        <f t="shared" si="7"/>
        <v>44.2</v>
      </c>
      <c r="J64" s="162">
        <f t="shared" si="4"/>
        <v>4950.4000000000005</v>
      </c>
      <c r="K64" s="162">
        <f t="shared" si="5"/>
        <v>0</v>
      </c>
      <c r="L64" s="162">
        <f t="shared" si="6"/>
        <v>0</v>
      </c>
      <c r="M64" s="162">
        <f t="shared" si="8"/>
        <v>4950.4000000000005</v>
      </c>
      <c r="N64" s="180"/>
      <c r="P64" s="165"/>
    </row>
    <row r="65" spans="1:16">
      <c r="A65" s="251" t="s">
        <v>265</v>
      </c>
      <c r="B65" s="23" t="str">
        <f t="shared" si="0"/>
        <v>Milling</v>
      </c>
      <c r="C65" s="137"/>
      <c r="D65" s="24" t="str">
        <f t="shared" si="1"/>
        <v>sy</v>
      </c>
      <c r="E65" s="231">
        <f t="shared" si="2"/>
        <v>78</v>
      </c>
      <c r="F65" s="225">
        <f t="shared" si="3"/>
        <v>52.7</v>
      </c>
      <c r="G65" s="227"/>
      <c r="H65" s="227"/>
      <c r="I65" s="167">
        <f t="shared" si="7"/>
        <v>52.7</v>
      </c>
      <c r="J65" s="162">
        <f t="shared" si="4"/>
        <v>4110.6000000000004</v>
      </c>
      <c r="K65" s="162">
        <f t="shared" si="5"/>
        <v>0</v>
      </c>
      <c r="L65" s="162">
        <f t="shared" si="6"/>
        <v>0</v>
      </c>
      <c r="M65" s="162">
        <f t="shared" si="8"/>
        <v>4110.6000000000004</v>
      </c>
      <c r="N65" s="180"/>
      <c r="P65" s="165"/>
    </row>
    <row r="66" spans="1:16">
      <c r="A66" s="251" t="s">
        <v>266</v>
      </c>
      <c r="B66" s="23" t="str">
        <f t="shared" si="0"/>
        <v>Pavement Removal</v>
      </c>
      <c r="C66" s="137"/>
      <c r="D66" s="24" t="str">
        <f t="shared" si="1"/>
        <v>sy</v>
      </c>
      <c r="E66" s="231">
        <f t="shared" si="2"/>
        <v>5.5</v>
      </c>
      <c r="F66" s="225">
        <f t="shared" si="3"/>
        <v>9400.1</v>
      </c>
      <c r="G66" s="227"/>
      <c r="H66" s="227">
        <v>1410</v>
      </c>
      <c r="I66" s="167">
        <f t="shared" si="7"/>
        <v>7990.1</v>
      </c>
      <c r="J66" s="162">
        <f t="shared" si="4"/>
        <v>51700.55</v>
      </c>
      <c r="K66" s="162">
        <f t="shared" si="5"/>
        <v>0</v>
      </c>
      <c r="L66" s="162">
        <f t="shared" si="6"/>
        <v>7755</v>
      </c>
      <c r="M66" s="162">
        <f t="shared" si="8"/>
        <v>43945.55</v>
      </c>
      <c r="N66" s="180"/>
      <c r="P66" s="165"/>
    </row>
    <row r="67" spans="1:16">
      <c r="A67" s="251" t="s">
        <v>288</v>
      </c>
      <c r="B67" s="23" t="str">
        <f t="shared" si="0"/>
        <v>Curb &amp; Gutter Removal</v>
      </c>
      <c r="C67" s="137"/>
      <c r="D67" s="24" t="str">
        <f t="shared" si="1"/>
        <v>lf</v>
      </c>
      <c r="E67" s="231">
        <f t="shared" si="2"/>
        <v>6.25</v>
      </c>
      <c r="F67" s="225">
        <f t="shared" si="3"/>
        <v>5281</v>
      </c>
      <c r="G67" s="227"/>
      <c r="H67" s="227">
        <v>409</v>
      </c>
      <c r="I67" s="167">
        <f t="shared" si="7"/>
        <v>4872</v>
      </c>
      <c r="J67" s="162">
        <f t="shared" si="4"/>
        <v>33006.25</v>
      </c>
      <c r="K67" s="162">
        <f t="shared" si="5"/>
        <v>0</v>
      </c>
      <c r="L67" s="162">
        <f t="shared" si="6"/>
        <v>2556.25</v>
      </c>
      <c r="M67" s="162">
        <f t="shared" si="8"/>
        <v>30450</v>
      </c>
      <c r="N67" s="180"/>
      <c r="P67" s="165"/>
    </row>
    <row r="68" spans="1:16">
      <c r="A68" s="251" t="s">
        <v>267</v>
      </c>
      <c r="B68" s="23" t="str">
        <f t="shared" si="0"/>
        <v>Engineering Fabric/Geogrid Fabric</v>
      </c>
      <c r="C68" s="137"/>
      <c r="D68" s="24" t="str">
        <f t="shared" si="1"/>
        <v>sy</v>
      </c>
      <c r="E68" s="231">
        <f t="shared" si="2"/>
        <v>3.5</v>
      </c>
      <c r="F68" s="225">
        <f t="shared" si="3"/>
        <v>2996</v>
      </c>
      <c r="G68" s="227"/>
      <c r="H68" s="227"/>
      <c r="I68" s="167">
        <f t="shared" si="7"/>
        <v>2996</v>
      </c>
      <c r="J68" s="162">
        <f t="shared" si="4"/>
        <v>10486</v>
      </c>
      <c r="K68" s="162">
        <f t="shared" si="5"/>
        <v>0</v>
      </c>
      <c r="L68" s="162">
        <f t="shared" si="6"/>
        <v>0</v>
      </c>
      <c r="M68" s="162">
        <f t="shared" si="8"/>
        <v>10486</v>
      </c>
      <c r="N68" s="180"/>
      <c r="P68" s="165"/>
    </row>
    <row r="69" spans="1:16">
      <c r="A69" s="256"/>
      <c r="B69" s="23" t="e">
        <f t="shared" si="0"/>
        <v>#N/A</v>
      </c>
      <c r="C69" s="137"/>
      <c r="D69" s="24" t="e">
        <f t="shared" si="1"/>
        <v>#N/A</v>
      </c>
      <c r="E69" s="231" t="e">
        <f t="shared" si="2"/>
        <v>#N/A</v>
      </c>
      <c r="F69" s="225" t="e">
        <f t="shared" si="3"/>
        <v>#N/A</v>
      </c>
      <c r="G69" s="227"/>
      <c r="H69" s="227"/>
      <c r="I69" s="167" t="e">
        <f t="shared" si="7"/>
        <v>#N/A</v>
      </c>
      <c r="J69" s="162">
        <f t="shared" si="4"/>
        <v>0</v>
      </c>
      <c r="K69" s="162">
        <f t="shared" si="5"/>
        <v>0</v>
      </c>
      <c r="L69" s="162">
        <f t="shared" si="6"/>
        <v>0</v>
      </c>
      <c r="M69" s="162">
        <f t="shared" si="8"/>
        <v>0</v>
      </c>
      <c r="N69" s="180"/>
      <c r="P69" s="165"/>
    </row>
    <row r="70" spans="1:16">
      <c r="A70" s="251" t="s">
        <v>268</v>
      </c>
      <c r="B70" s="23" t="str">
        <f t="shared" si="0"/>
        <v>Temporary Traffic Control</v>
      </c>
      <c r="C70" s="137"/>
      <c r="D70" s="24" t="str">
        <f t="shared" si="1"/>
        <v>ls</v>
      </c>
      <c r="E70" s="231">
        <f t="shared" si="2"/>
        <v>17350</v>
      </c>
      <c r="F70" s="225">
        <f t="shared" si="3"/>
        <v>1</v>
      </c>
      <c r="G70" s="227"/>
      <c r="H70" s="227">
        <v>0.2</v>
      </c>
      <c r="I70" s="167">
        <f t="shared" si="7"/>
        <v>0.8</v>
      </c>
      <c r="J70" s="162">
        <f t="shared" si="4"/>
        <v>17350</v>
      </c>
      <c r="K70" s="162">
        <f t="shared" si="5"/>
        <v>0</v>
      </c>
      <c r="L70" s="162">
        <f t="shared" si="6"/>
        <v>3470</v>
      </c>
      <c r="M70" s="162">
        <f t="shared" si="8"/>
        <v>13880</v>
      </c>
      <c r="N70" s="180"/>
      <c r="P70" s="165"/>
    </row>
    <row r="71" spans="1:16">
      <c r="A71" s="256"/>
      <c r="B71" s="23" t="e">
        <f t="shared" si="0"/>
        <v>#N/A</v>
      </c>
      <c r="C71" s="137"/>
      <c r="D71" s="24" t="e">
        <f t="shared" si="1"/>
        <v>#N/A</v>
      </c>
      <c r="E71" s="232" t="e">
        <f t="shared" si="2"/>
        <v>#N/A</v>
      </c>
      <c r="F71" s="225" t="e">
        <f t="shared" si="3"/>
        <v>#N/A</v>
      </c>
      <c r="G71" s="227"/>
      <c r="H71" s="227"/>
      <c r="I71" s="167" t="e">
        <f t="shared" si="7"/>
        <v>#N/A</v>
      </c>
      <c r="J71" s="162">
        <f t="shared" si="4"/>
        <v>0</v>
      </c>
      <c r="K71" s="162">
        <f t="shared" si="5"/>
        <v>0</v>
      </c>
      <c r="L71" s="162">
        <f t="shared" si="6"/>
        <v>0</v>
      </c>
      <c r="M71" s="162">
        <f t="shared" si="8"/>
        <v>0</v>
      </c>
      <c r="N71" s="180"/>
      <c r="P71" s="165"/>
    </row>
    <row r="72" spans="1:16">
      <c r="A72" s="251" t="s">
        <v>269</v>
      </c>
      <c r="B72" s="23" t="str">
        <f t="shared" si="0"/>
        <v>Wattles</v>
      </c>
      <c r="C72" s="137"/>
      <c r="D72" s="24" t="str">
        <f t="shared" si="1"/>
        <v>lf</v>
      </c>
      <c r="E72" s="232">
        <f t="shared" si="2"/>
        <v>3.7</v>
      </c>
      <c r="F72" s="225">
        <f t="shared" si="3"/>
        <v>500</v>
      </c>
      <c r="G72" s="227"/>
      <c r="H72" s="227">
        <v>74</v>
      </c>
      <c r="I72" s="167">
        <f t="shared" si="7"/>
        <v>426</v>
      </c>
      <c r="J72" s="162">
        <f t="shared" si="4"/>
        <v>1850</v>
      </c>
      <c r="K72" s="162">
        <f t="shared" si="5"/>
        <v>0</v>
      </c>
      <c r="L72" s="162">
        <f t="shared" si="6"/>
        <v>273.8</v>
      </c>
      <c r="M72" s="162">
        <f t="shared" si="8"/>
        <v>1576.2</v>
      </c>
      <c r="N72" s="180"/>
      <c r="P72" s="165"/>
    </row>
    <row r="73" spans="1:16">
      <c r="A73" s="251" t="s">
        <v>270</v>
      </c>
      <c r="B73" s="23" t="str">
        <f t="shared" ref="B73:B107" si="9">VLOOKUP($A73,BIDTAB,2,FALSE)</f>
        <v>Inlet Protection Device</v>
      </c>
      <c r="C73" s="137"/>
      <c r="D73" s="24" t="str">
        <f t="shared" ref="D73:D107" si="10">VLOOKUP($A73,BIDTAB,3,FALSE)</f>
        <v>ea</v>
      </c>
      <c r="E73" s="233">
        <f t="shared" ref="E73:E107" si="11">VLOOKUP($A73,BIDTAB,7,FALSE)</f>
        <v>210</v>
      </c>
      <c r="F73" s="225">
        <f t="shared" ref="F73:F107" si="12">VLOOKUP($A73,BIDTAB,4,FALSE)</f>
        <v>17</v>
      </c>
      <c r="G73" s="227"/>
      <c r="H73" s="227">
        <v>4</v>
      </c>
      <c r="I73" s="167">
        <f t="shared" si="7"/>
        <v>13</v>
      </c>
      <c r="J73" s="162">
        <f t="shared" ref="J73:J76" si="13">IF(ISERROR(F73*E73),0,F73*E73)</f>
        <v>3570</v>
      </c>
      <c r="K73" s="162">
        <f t="shared" ref="K73:K76" si="14">IF(ISERROR(G73*E73),0,G73*E73)</f>
        <v>0</v>
      </c>
      <c r="L73" s="162">
        <f t="shared" ref="L73:L76" si="15">IF(ISERROR(H73*E73),0,H73*E73)</f>
        <v>840</v>
      </c>
      <c r="M73" s="162">
        <f t="shared" si="8"/>
        <v>2730</v>
      </c>
      <c r="N73" s="180"/>
      <c r="P73" s="165"/>
    </row>
    <row r="74" spans="1:16">
      <c r="A74" s="251" t="s">
        <v>271</v>
      </c>
      <c r="B74" s="23" t="str">
        <f t="shared" si="9"/>
        <v>Inlet Protection Device, Maintenance</v>
      </c>
      <c r="C74" s="137"/>
      <c r="D74" s="24" t="str">
        <f t="shared" si="10"/>
        <v>ea</v>
      </c>
      <c r="E74" s="233">
        <f t="shared" si="11"/>
        <v>52.5</v>
      </c>
      <c r="F74" s="225">
        <f t="shared" si="12"/>
        <v>17</v>
      </c>
      <c r="G74" s="227"/>
      <c r="H74" s="227"/>
      <c r="I74" s="167">
        <f t="shared" ref="I74:I107" si="16">IF(ISBLANK(G74),F74,F74+G74)-H74</f>
        <v>17</v>
      </c>
      <c r="J74" s="162">
        <f t="shared" si="13"/>
        <v>892.5</v>
      </c>
      <c r="K74" s="162">
        <f t="shared" si="14"/>
        <v>0</v>
      </c>
      <c r="L74" s="162">
        <f t="shared" si="15"/>
        <v>0</v>
      </c>
      <c r="M74" s="162">
        <f t="shared" ref="M74:M76" si="17">SUM(J74:K74)-L74</f>
        <v>892.5</v>
      </c>
      <c r="N74" s="180"/>
      <c r="P74" s="165"/>
    </row>
    <row r="75" spans="1:16">
      <c r="A75" s="251" t="s">
        <v>272</v>
      </c>
      <c r="B75" s="23" t="str">
        <f t="shared" si="9"/>
        <v>Modular Block Retaining Wall</v>
      </c>
      <c r="C75" s="137"/>
      <c r="D75" s="24" t="str">
        <f t="shared" si="10"/>
        <v>sf</v>
      </c>
      <c r="E75" s="233">
        <f t="shared" si="11"/>
        <v>70.349999999999994</v>
      </c>
      <c r="F75" s="225">
        <f t="shared" si="12"/>
        <v>60</v>
      </c>
      <c r="G75" s="227"/>
      <c r="H75" s="227"/>
      <c r="I75" s="167">
        <f t="shared" si="16"/>
        <v>60</v>
      </c>
      <c r="J75" s="162">
        <f t="shared" si="13"/>
        <v>4221</v>
      </c>
      <c r="K75" s="162">
        <f t="shared" si="14"/>
        <v>0</v>
      </c>
      <c r="L75" s="162">
        <f t="shared" si="15"/>
        <v>0</v>
      </c>
      <c r="M75" s="162">
        <f t="shared" si="17"/>
        <v>4221</v>
      </c>
      <c r="N75" s="180"/>
      <c r="P75" s="165"/>
    </row>
    <row r="76" spans="1:16">
      <c r="A76" s="256"/>
      <c r="B76" s="23" t="e">
        <f t="shared" si="9"/>
        <v>#N/A</v>
      </c>
      <c r="C76" s="137"/>
      <c r="D76" s="24" t="e">
        <f t="shared" si="10"/>
        <v>#N/A</v>
      </c>
      <c r="E76" s="232" t="e">
        <f t="shared" si="11"/>
        <v>#N/A</v>
      </c>
      <c r="F76" s="225" t="e">
        <f t="shared" si="12"/>
        <v>#N/A</v>
      </c>
      <c r="G76" s="227"/>
      <c r="H76" s="227"/>
      <c r="I76" s="167" t="e">
        <f t="shared" si="16"/>
        <v>#N/A</v>
      </c>
      <c r="J76" s="162">
        <f t="shared" si="13"/>
        <v>0</v>
      </c>
      <c r="K76" s="162">
        <f t="shared" si="14"/>
        <v>0</v>
      </c>
      <c r="L76" s="162">
        <f t="shared" si="15"/>
        <v>0</v>
      </c>
      <c r="M76" s="162">
        <f t="shared" si="17"/>
        <v>0</v>
      </c>
      <c r="N76" s="180"/>
      <c r="P76" s="165"/>
    </row>
    <row r="77" spans="1:16">
      <c r="A77" s="251" t="s">
        <v>273</v>
      </c>
      <c r="B77" s="23" t="str">
        <f t="shared" si="9"/>
        <v>Construction Survey/Staking</v>
      </c>
      <c r="C77" s="137"/>
      <c r="D77" s="24" t="str">
        <f t="shared" si="10"/>
        <v>ls</v>
      </c>
      <c r="E77" s="232">
        <f t="shared" si="11"/>
        <v>16065</v>
      </c>
      <c r="F77" s="225">
        <f t="shared" si="12"/>
        <v>1</v>
      </c>
      <c r="G77" s="227"/>
      <c r="H77" s="227">
        <v>0.2</v>
      </c>
      <c r="I77" s="167">
        <f t="shared" si="16"/>
        <v>0.8</v>
      </c>
      <c r="J77" s="162">
        <f>IF(ISERROR(F77*E77),0,F77*E77)</f>
        <v>16065</v>
      </c>
      <c r="K77" s="162">
        <f>IF(ISERROR(G77*E77),0,G77*E77)</f>
        <v>0</v>
      </c>
      <c r="L77" s="162">
        <f>IF(ISERROR(H77*E77),0,H77*E77)</f>
        <v>3213</v>
      </c>
      <c r="M77" s="162">
        <f t="shared" ref="M77:M107" si="18">SUM(J77:K77)-L77</f>
        <v>12852</v>
      </c>
      <c r="N77" s="180"/>
      <c r="P77" s="165"/>
    </row>
    <row r="78" spans="1:16">
      <c r="A78" s="251" t="s">
        <v>274</v>
      </c>
      <c r="B78" s="23" t="str">
        <f t="shared" si="9"/>
        <v>Pedestrian Facility Construction Survey &amp; Staking</v>
      </c>
      <c r="C78" s="137"/>
      <c r="D78" s="24" t="str">
        <f t="shared" si="10"/>
        <v>ea</v>
      </c>
      <c r="E78" s="232">
        <f t="shared" si="11"/>
        <v>275</v>
      </c>
      <c r="F78" s="225">
        <f t="shared" si="12"/>
        <v>13</v>
      </c>
      <c r="G78" s="227"/>
      <c r="H78" s="227"/>
      <c r="I78" s="167">
        <f t="shared" si="16"/>
        <v>13</v>
      </c>
      <c r="J78" s="162">
        <f t="shared" ref="J78:J107" si="19">IF(ISERROR(F78*E78),0,F78*E78)</f>
        <v>3575</v>
      </c>
      <c r="K78" s="162">
        <f t="shared" ref="K78:K107" si="20">IF(ISERROR(G78*E78),0,G78*E78)</f>
        <v>0</v>
      </c>
      <c r="L78" s="162">
        <f t="shared" ref="L78:L107" si="21">IF(ISERROR(H78*E78),0,H78*E78)</f>
        <v>0</v>
      </c>
      <c r="M78" s="162">
        <f t="shared" si="18"/>
        <v>3575</v>
      </c>
      <c r="N78" s="180"/>
      <c r="P78" s="165"/>
    </row>
    <row r="79" spans="1:16">
      <c r="A79" s="251" t="s">
        <v>275</v>
      </c>
      <c r="B79" s="23" t="str">
        <f t="shared" si="9"/>
        <v>Monument Preservation or Replacement</v>
      </c>
      <c r="C79" s="137"/>
      <c r="D79" s="24" t="str">
        <f t="shared" si="10"/>
        <v>ls</v>
      </c>
      <c r="E79" s="231">
        <f t="shared" si="11"/>
        <v>2310</v>
      </c>
      <c r="F79" s="225">
        <f t="shared" si="12"/>
        <v>1</v>
      </c>
      <c r="G79" s="227"/>
      <c r="H79" s="227"/>
      <c r="I79" s="167">
        <f t="shared" si="16"/>
        <v>1</v>
      </c>
      <c r="J79" s="162">
        <f t="shared" si="19"/>
        <v>2310</v>
      </c>
      <c r="K79" s="162">
        <f t="shared" si="20"/>
        <v>0</v>
      </c>
      <c r="L79" s="162">
        <f t="shared" si="21"/>
        <v>0</v>
      </c>
      <c r="M79" s="162">
        <f t="shared" si="18"/>
        <v>2310</v>
      </c>
      <c r="N79" s="180"/>
      <c r="P79" s="165"/>
    </row>
    <row r="80" spans="1:16">
      <c r="A80" s="251" t="s">
        <v>276</v>
      </c>
      <c r="B80" s="23" t="str">
        <f t="shared" si="9"/>
        <v>Mobilization</v>
      </c>
      <c r="C80" s="137"/>
      <c r="D80" s="24" t="str">
        <f t="shared" si="10"/>
        <v>ls</v>
      </c>
      <c r="E80" s="231">
        <f t="shared" si="11"/>
        <v>35000</v>
      </c>
      <c r="F80" s="225">
        <f t="shared" si="12"/>
        <v>1</v>
      </c>
      <c r="G80" s="227"/>
      <c r="H80" s="227">
        <v>0.2</v>
      </c>
      <c r="I80" s="167">
        <f t="shared" si="16"/>
        <v>0.8</v>
      </c>
      <c r="J80" s="162">
        <f t="shared" si="19"/>
        <v>35000</v>
      </c>
      <c r="K80" s="162">
        <f t="shared" si="20"/>
        <v>0</v>
      </c>
      <c r="L80" s="162">
        <f t="shared" si="21"/>
        <v>7000</v>
      </c>
      <c r="M80" s="162">
        <f t="shared" si="18"/>
        <v>28000</v>
      </c>
      <c r="N80" s="180"/>
      <c r="P80" s="165"/>
    </row>
    <row r="81" spans="1:16">
      <c r="A81" s="251" t="s">
        <v>277</v>
      </c>
      <c r="B81" s="23" t="str">
        <f t="shared" si="9"/>
        <v>Concrete Washout</v>
      </c>
      <c r="C81" s="137"/>
      <c r="D81" s="24" t="str">
        <f t="shared" si="10"/>
        <v>ls</v>
      </c>
      <c r="E81" s="231">
        <f t="shared" si="11"/>
        <v>3900</v>
      </c>
      <c r="F81" s="225">
        <f t="shared" si="12"/>
        <v>1</v>
      </c>
      <c r="G81" s="227"/>
      <c r="H81" s="227"/>
      <c r="I81" s="167">
        <f t="shared" si="16"/>
        <v>1</v>
      </c>
      <c r="J81" s="162">
        <f t="shared" si="19"/>
        <v>3900</v>
      </c>
      <c r="K81" s="162">
        <f t="shared" si="20"/>
        <v>0</v>
      </c>
      <c r="L81" s="162">
        <f t="shared" si="21"/>
        <v>0</v>
      </c>
      <c r="M81" s="162">
        <f t="shared" si="18"/>
        <v>3900</v>
      </c>
      <c r="N81" s="180"/>
      <c r="P81" s="165"/>
    </row>
    <row r="82" spans="1:16">
      <c r="A82" s="256"/>
      <c r="B82" s="23" t="e">
        <f t="shared" si="9"/>
        <v>#N/A</v>
      </c>
      <c r="C82" s="137"/>
      <c r="D82" s="24" t="e">
        <f t="shared" si="10"/>
        <v>#N/A</v>
      </c>
      <c r="E82" s="231" t="e">
        <f t="shared" si="11"/>
        <v>#N/A</v>
      </c>
      <c r="F82" s="225" t="e">
        <f t="shared" si="12"/>
        <v>#N/A</v>
      </c>
      <c r="G82" s="227"/>
      <c r="H82" s="227"/>
      <c r="I82" s="167" t="e">
        <f t="shared" si="16"/>
        <v>#N/A</v>
      </c>
      <c r="J82" s="162">
        <f t="shared" si="19"/>
        <v>0</v>
      </c>
      <c r="K82" s="162">
        <f t="shared" si="20"/>
        <v>0</v>
      </c>
      <c r="L82" s="162">
        <f t="shared" si="21"/>
        <v>0</v>
      </c>
      <c r="M82" s="162">
        <f t="shared" si="18"/>
        <v>0</v>
      </c>
      <c r="N82" s="180"/>
      <c r="P82" s="165"/>
    </row>
    <row r="83" spans="1:16">
      <c r="A83" s="256"/>
      <c r="B83" s="23" t="e">
        <f t="shared" si="9"/>
        <v>#N/A</v>
      </c>
      <c r="C83" s="137"/>
      <c r="D83" s="24" t="e">
        <f t="shared" si="10"/>
        <v>#N/A</v>
      </c>
      <c r="E83" s="231" t="e">
        <f t="shared" si="11"/>
        <v>#N/A</v>
      </c>
      <c r="F83" s="225" t="e">
        <f t="shared" si="12"/>
        <v>#N/A</v>
      </c>
      <c r="G83" s="227"/>
      <c r="H83" s="227"/>
      <c r="I83" s="167" t="e">
        <f t="shared" si="16"/>
        <v>#N/A</v>
      </c>
      <c r="J83" s="162">
        <f t="shared" si="19"/>
        <v>0</v>
      </c>
      <c r="K83" s="162">
        <f t="shared" si="20"/>
        <v>0</v>
      </c>
      <c r="L83" s="162">
        <f t="shared" si="21"/>
        <v>0</v>
      </c>
      <c r="M83" s="162">
        <f t="shared" si="18"/>
        <v>0</v>
      </c>
      <c r="N83" s="180"/>
      <c r="P83" s="165"/>
    </row>
    <row r="84" spans="1:16">
      <c r="A84" s="256"/>
      <c r="B84" s="23" t="e">
        <f t="shared" si="9"/>
        <v>#N/A</v>
      </c>
      <c r="C84" s="137"/>
      <c r="D84" s="24" t="e">
        <f t="shared" si="10"/>
        <v>#N/A</v>
      </c>
      <c r="E84" s="231" t="e">
        <f t="shared" si="11"/>
        <v>#N/A</v>
      </c>
      <c r="F84" s="225" t="e">
        <f t="shared" si="12"/>
        <v>#N/A</v>
      </c>
      <c r="G84" s="227"/>
      <c r="H84" s="227"/>
      <c r="I84" s="167" t="e">
        <f t="shared" si="16"/>
        <v>#N/A</v>
      </c>
      <c r="J84" s="162">
        <f t="shared" si="19"/>
        <v>0</v>
      </c>
      <c r="K84" s="162">
        <f t="shared" si="20"/>
        <v>0</v>
      </c>
      <c r="L84" s="162">
        <f t="shared" si="21"/>
        <v>0</v>
      </c>
      <c r="M84" s="162">
        <f t="shared" si="18"/>
        <v>0</v>
      </c>
      <c r="N84" s="180"/>
      <c r="P84" s="165"/>
    </row>
    <row r="85" spans="1:16">
      <c r="A85" s="256"/>
      <c r="B85" s="23" t="e">
        <f t="shared" si="9"/>
        <v>#N/A</v>
      </c>
      <c r="C85" s="137"/>
      <c r="D85" s="24" t="e">
        <f t="shared" si="10"/>
        <v>#N/A</v>
      </c>
      <c r="E85" s="231" t="e">
        <f t="shared" si="11"/>
        <v>#N/A</v>
      </c>
      <c r="F85" s="225" t="e">
        <f t="shared" si="12"/>
        <v>#N/A</v>
      </c>
      <c r="G85" s="227"/>
      <c r="H85" s="227"/>
      <c r="I85" s="167" t="e">
        <f t="shared" si="16"/>
        <v>#N/A</v>
      </c>
      <c r="J85" s="162">
        <f t="shared" si="19"/>
        <v>0</v>
      </c>
      <c r="K85" s="162">
        <f t="shared" si="20"/>
        <v>0</v>
      </c>
      <c r="L85" s="162">
        <f t="shared" si="21"/>
        <v>0</v>
      </c>
      <c r="M85" s="162">
        <f t="shared" si="18"/>
        <v>0</v>
      </c>
      <c r="N85" s="180"/>
      <c r="P85" s="165"/>
    </row>
    <row r="86" spans="1:16">
      <c r="A86" s="256"/>
      <c r="B86" s="23" t="e">
        <f t="shared" si="9"/>
        <v>#N/A</v>
      </c>
      <c r="C86" s="137"/>
      <c r="D86" s="24" t="e">
        <f t="shared" si="10"/>
        <v>#N/A</v>
      </c>
      <c r="E86" s="231" t="e">
        <f t="shared" si="11"/>
        <v>#N/A</v>
      </c>
      <c r="F86" s="225" t="e">
        <f t="shared" si="12"/>
        <v>#N/A</v>
      </c>
      <c r="G86" s="227"/>
      <c r="H86" s="227"/>
      <c r="I86" s="167" t="e">
        <f t="shared" si="16"/>
        <v>#N/A</v>
      </c>
      <c r="J86" s="162">
        <f t="shared" si="19"/>
        <v>0</v>
      </c>
      <c r="K86" s="162">
        <f t="shared" si="20"/>
        <v>0</v>
      </c>
      <c r="L86" s="162">
        <f t="shared" si="21"/>
        <v>0</v>
      </c>
      <c r="M86" s="162">
        <f t="shared" si="18"/>
        <v>0</v>
      </c>
      <c r="N86" s="180"/>
      <c r="P86" s="165"/>
    </row>
    <row r="87" spans="1:16">
      <c r="A87" s="256"/>
      <c r="B87" s="23" t="e">
        <f t="shared" si="9"/>
        <v>#N/A</v>
      </c>
      <c r="C87" s="137"/>
      <c r="D87" s="24" t="e">
        <f t="shared" si="10"/>
        <v>#N/A</v>
      </c>
      <c r="E87" s="231" t="e">
        <f t="shared" si="11"/>
        <v>#N/A</v>
      </c>
      <c r="F87" s="225" t="e">
        <f t="shared" si="12"/>
        <v>#N/A</v>
      </c>
      <c r="G87" s="227"/>
      <c r="H87" s="227"/>
      <c r="I87" s="167" t="e">
        <f t="shared" si="16"/>
        <v>#N/A</v>
      </c>
      <c r="J87" s="162">
        <f t="shared" si="19"/>
        <v>0</v>
      </c>
      <c r="K87" s="162">
        <f t="shared" si="20"/>
        <v>0</v>
      </c>
      <c r="L87" s="162">
        <f t="shared" si="21"/>
        <v>0</v>
      </c>
      <c r="M87" s="162">
        <f t="shared" si="18"/>
        <v>0</v>
      </c>
      <c r="N87" s="180"/>
      <c r="P87" s="165"/>
    </row>
    <row r="88" spans="1:16">
      <c r="A88" s="256"/>
      <c r="B88" s="23" t="e">
        <f t="shared" si="9"/>
        <v>#N/A</v>
      </c>
      <c r="C88" s="137"/>
      <c r="D88" s="24" t="e">
        <f t="shared" si="10"/>
        <v>#N/A</v>
      </c>
      <c r="E88" s="231" t="e">
        <f t="shared" si="11"/>
        <v>#N/A</v>
      </c>
      <c r="F88" s="225" t="e">
        <f t="shared" si="12"/>
        <v>#N/A</v>
      </c>
      <c r="G88" s="227"/>
      <c r="H88" s="227"/>
      <c r="I88" s="167" t="e">
        <f t="shared" si="16"/>
        <v>#N/A</v>
      </c>
      <c r="J88" s="162">
        <f t="shared" si="19"/>
        <v>0</v>
      </c>
      <c r="K88" s="162">
        <f t="shared" si="20"/>
        <v>0</v>
      </c>
      <c r="L88" s="162">
        <f t="shared" si="21"/>
        <v>0</v>
      </c>
      <c r="M88" s="162">
        <f t="shared" si="18"/>
        <v>0</v>
      </c>
      <c r="N88" s="180"/>
      <c r="P88" s="165"/>
    </row>
    <row r="89" spans="1:16">
      <c r="A89" s="256"/>
      <c r="B89" s="23" t="e">
        <f t="shared" si="9"/>
        <v>#N/A</v>
      </c>
      <c r="C89" s="137"/>
      <c r="D89" s="24" t="e">
        <f t="shared" si="10"/>
        <v>#N/A</v>
      </c>
      <c r="E89" s="231" t="e">
        <f t="shared" si="11"/>
        <v>#N/A</v>
      </c>
      <c r="F89" s="225" t="e">
        <f t="shared" si="12"/>
        <v>#N/A</v>
      </c>
      <c r="G89" s="227"/>
      <c r="H89" s="227"/>
      <c r="I89" s="167" t="e">
        <f t="shared" si="16"/>
        <v>#N/A</v>
      </c>
      <c r="J89" s="162">
        <f t="shared" si="19"/>
        <v>0</v>
      </c>
      <c r="K89" s="162">
        <f t="shared" si="20"/>
        <v>0</v>
      </c>
      <c r="L89" s="162">
        <f t="shared" si="21"/>
        <v>0</v>
      </c>
      <c r="M89" s="162">
        <f t="shared" si="18"/>
        <v>0</v>
      </c>
      <c r="N89" s="180"/>
      <c r="P89" s="165"/>
    </row>
    <row r="90" spans="1:16">
      <c r="A90" s="256"/>
      <c r="B90" s="23" t="e">
        <f t="shared" si="9"/>
        <v>#N/A</v>
      </c>
      <c r="C90" s="137"/>
      <c r="D90" s="24" t="e">
        <f t="shared" si="10"/>
        <v>#N/A</v>
      </c>
      <c r="E90" s="231" t="e">
        <f t="shared" si="11"/>
        <v>#N/A</v>
      </c>
      <c r="F90" s="225" t="e">
        <f t="shared" si="12"/>
        <v>#N/A</v>
      </c>
      <c r="G90" s="227"/>
      <c r="H90" s="227"/>
      <c r="I90" s="167" t="e">
        <f t="shared" si="16"/>
        <v>#N/A</v>
      </c>
      <c r="J90" s="162">
        <f t="shared" si="19"/>
        <v>0</v>
      </c>
      <c r="K90" s="162">
        <f t="shared" si="20"/>
        <v>0</v>
      </c>
      <c r="L90" s="162">
        <f t="shared" si="21"/>
        <v>0</v>
      </c>
      <c r="M90" s="162">
        <f t="shared" si="18"/>
        <v>0</v>
      </c>
      <c r="N90" s="180"/>
      <c r="P90" s="165"/>
    </row>
    <row r="91" spans="1:16">
      <c r="A91" s="256"/>
      <c r="B91" s="23" t="e">
        <f t="shared" si="9"/>
        <v>#N/A</v>
      </c>
      <c r="C91" s="137"/>
      <c r="D91" s="24" t="e">
        <f t="shared" si="10"/>
        <v>#N/A</v>
      </c>
      <c r="E91" s="231" t="e">
        <f t="shared" si="11"/>
        <v>#N/A</v>
      </c>
      <c r="F91" s="225" t="e">
        <f t="shared" si="12"/>
        <v>#N/A</v>
      </c>
      <c r="G91" s="227"/>
      <c r="H91" s="227"/>
      <c r="I91" s="167" t="e">
        <f t="shared" si="16"/>
        <v>#N/A</v>
      </c>
      <c r="J91" s="162">
        <f t="shared" si="19"/>
        <v>0</v>
      </c>
      <c r="K91" s="162">
        <f t="shared" si="20"/>
        <v>0</v>
      </c>
      <c r="L91" s="162">
        <f t="shared" si="21"/>
        <v>0</v>
      </c>
      <c r="M91" s="162">
        <f t="shared" si="18"/>
        <v>0</v>
      </c>
      <c r="N91" s="180"/>
      <c r="P91" s="165"/>
    </row>
    <row r="92" spans="1:16">
      <c r="A92" s="256"/>
      <c r="B92" s="23" t="e">
        <f t="shared" si="9"/>
        <v>#N/A</v>
      </c>
      <c r="C92" s="137"/>
      <c r="D92" s="24" t="e">
        <f t="shared" si="10"/>
        <v>#N/A</v>
      </c>
      <c r="E92" s="231" t="e">
        <f t="shared" si="11"/>
        <v>#N/A</v>
      </c>
      <c r="F92" s="225" t="e">
        <f t="shared" si="12"/>
        <v>#N/A</v>
      </c>
      <c r="G92" s="227"/>
      <c r="H92" s="227"/>
      <c r="I92" s="167" t="e">
        <f t="shared" si="16"/>
        <v>#N/A</v>
      </c>
      <c r="J92" s="162">
        <f t="shared" si="19"/>
        <v>0</v>
      </c>
      <c r="K92" s="162">
        <f t="shared" si="20"/>
        <v>0</v>
      </c>
      <c r="L92" s="162">
        <f t="shared" si="21"/>
        <v>0</v>
      </c>
      <c r="M92" s="162">
        <f t="shared" si="18"/>
        <v>0</v>
      </c>
      <c r="N92" s="180"/>
      <c r="P92" s="165"/>
    </row>
    <row r="93" spans="1:16">
      <c r="A93" s="256"/>
      <c r="B93" s="23" t="e">
        <f t="shared" si="9"/>
        <v>#N/A</v>
      </c>
      <c r="C93" s="137"/>
      <c r="D93" s="24" t="e">
        <f t="shared" si="10"/>
        <v>#N/A</v>
      </c>
      <c r="E93" s="231" t="e">
        <f t="shared" si="11"/>
        <v>#N/A</v>
      </c>
      <c r="F93" s="225" t="e">
        <f t="shared" si="12"/>
        <v>#N/A</v>
      </c>
      <c r="G93" s="227"/>
      <c r="H93" s="227"/>
      <c r="I93" s="167" t="e">
        <f t="shared" si="16"/>
        <v>#N/A</v>
      </c>
      <c r="J93" s="162">
        <f t="shared" si="19"/>
        <v>0</v>
      </c>
      <c r="K93" s="162">
        <f t="shared" si="20"/>
        <v>0</v>
      </c>
      <c r="L93" s="162">
        <f t="shared" si="21"/>
        <v>0</v>
      </c>
      <c r="M93" s="162">
        <f t="shared" si="18"/>
        <v>0</v>
      </c>
      <c r="N93" s="180"/>
      <c r="P93" s="165"/>
    </row>
    <row r="94" spans="1:16" hidden="1">
      <c r="A94" s="256"/>
      <c r="B94" s="23" t="e">
        <f t="shared" si="9"/>
        <v>#N/A</v>
      </c>
      <c r="C94" s="137"/>
      <c r="D94" s="24" t="e">
        <f t="shared" si="10"/>
        <v>#N/A</v>
      </c>
      <c r="E94" s="231" t="e">
        <f t="shared" si="11"/>
        <v>#N/A</v>
      </c>
      <c r="F94" s="225" t="e">
        <f t="shared" si="12"/>
        <v>#N/A</v>
      </c>
      <c r="G94" s="227"/>
      <c r="H94" s="227"/>
      <c r="I94" s="167" t="e">
        <f t="shared" si="16"/>
        <v>#N/A</v>
      </c>
      <c r="J94" s="162">
        <f t="shared" si="19"/>
        <v>0</v>
      </c>
      <c r="K94" s="162">
        <f t="shared" si="20"/>
        <v>0</v>
      </c>
      <c r="L94" s="162">
        <f t="shared" si="21"/>
        <v>0</v>
      </c>
      <c r="M94" s="162">
        <f t="shared" si="18"/>
        <v>0</v>
      </c>
      <c r="N94" s="180"/>
      <c r="P94" s="165"/>
    </row>
    <row r="95" spans="1:16" hidden="1">
      <c r="A95" s="256"/>
      <c r="B95" s="23" t="e">
        <f t="shared" si="9"/>
        <v>#N/A</v>
      </c>
      <c r="C95" s="137"/>
      <c r="D95" s="24" t="e">
        <f t="shared" si="10"/>
        <v>#N/A</v>
      </c>
      <c r="E95" s="231" t="e">
        <f t="shared" si="11"/>
        <v>#N/A</v>
      </c>
      <c r="F95" s="225" t="e">
        <f t="shared" si="12"/>
        <v>#N/A</v>
      </c>
      <c r="G95" s="227"/>
      <c r="H95" s="227"/>
      <c r="I95" s="167" t="e">
        <f t="shared" si="16"/>
        <v>#N/A</v>
      </c>
      <c r="J95" s="162">
        <f t="shared" si="19"/>
        <v>0</v>
      </c>
      <c r="K95" s="162">
        <f t="shared" si="20"/>
        <v>0</v>
      </c>
      <c r="L95" s="162">
        <f t="shared" si="21"/>
        <v>0</v>
      </c>
      <c r="M95" s="162">
        <f t="shared" si="18"/>
        <v>0</v>
      </c>
      <c r="N95" s="180"/>
      <c r="P95" s="165"/>
    </row>
    <row r="96" spans="1:16" hidden="1">
      <c r="A96" s="256"/>
      <c r="B96" s="23" t="e">
        <f t="shared" si="9"/>
        <v>#N/A</v>
      </c>
      <c r="C96" s="137"/>
      <c r="D96" s="24" t="e">
        <f t="shared" si="10"/>
        <v>#N/A</v>
      </c>
      <c r="E96" s="231" t="e">
        <f t="shared" si="11"/>
        <v>#N/A</v>
      </c>
      <c r="F96" s="225" t="e">
        <f t="shared" si="12"/>
        <v>#N/A</v>
      </c>
      <c r="G96" s="227"/>
      <c r="H96" s="227"/>
      <c r="I96" s="167" t="e">
        <f t="shared" si="16"/>
        <v>#N/A</v>
      </c>
      <c r="J96" s="162">
        <f t="shared" si="19"/>
        <v>0</v>
      </c>
      <c r="K96" s="162">
        <f t="shared" si="20"/>
        <v>0</v>
      </c>
      <c r="L96" s="162">
        <f t="shared" si="21"/>
        <v>0</v>
      </c>
      <c r="M96" s="162">
        <f t="shared" si="18"/>
        <v>0</v>
      </c>
      <c r="N96" s="180"/>
      <c r="P96" s="165"/>
    </row>
    <row r="97" spans="1:18" hidden="1">
      <c r="A97" s="256"/>
      <c r="B97" s="23" t="e">
        <f t="shared" si="9"/>
        <v>#N/A</v>
      </c>
      <c r="C97" s="137"/>
      <c r="D97" s="24" t="e">
        <f t="shared" si="10"/>
        <v>#N/A</v>
      </c>
      <c r="E97" s="231" t="e">
        <f t="shared" si="11"/>
        <v>#N/A</v>
      </c>
      <c r="F97" s="225" t="e">
        <f t="shared" si="12"/>
        <v>#N/A</v>
      </c>
      <c r="G97" s="227"/>
      <c r="H97" s="227"/>
      <c r="I97" s="167" t="e">
        <f t="shared" si="16"/>
        <v>#N/A</v>
      </c>
      <c r="J97" s="162">
        <f t="shared" si="19"/>
        <v>0</v>
      </c>
      <c r="K97" s="162">
        <f t="shared" si="20"/>
        <v>0</v>
      </c>
      <c r="L97" s="162">
        <f t="shared" si="21"/>
        <v>0</v>
      </c>
      <c r="M97" s="162">
        <f t="shared" si="18"/>
        <v>0</v>
      </c>
      <c r="N97" s="180"/>
      <c r="P97" s="165"/>
    </row>
    <row r="98" spans="1:18" hidden="1">
      <c r="A98" s="256"/>
      <c r="B98" s="23" t="e">
        <f t="shared" si="9"/>
        <v>#N/A</v>
      </c>
      <c r="C98" s="137"/>
      <c r="D98" s="24" t="e">
        <f t="shared" si="10"/>
        <v>#N/A</v>
      </c>
      <c r="E98" s="231" t="e">
        <f t="shared" si="11"/>
        <v>#N/A</v>
      </c>
      <c r="F98" s="225" t="e">
        <f t="shared" si="12"/>
        <v>#N/A</v>
      </c>
      <c r="G98" s="227"/>
      <c r="H98" s="227"/>
      <c r="I98" s="167" t="e">
        <f t="shared" si="16"/>
        <v>#N/A</v>
      </c>
      <c r="J98" s="162">
        <f t="shared" si="19"/>
        <v>0</v>
      </c>
      <c r="K98" s="162">
        <f t="shared" si="20"/>
        <v>0</v>
      </c>
      <c r="L98" s="162">
        <f t="shared" si="21"/>
        <v>0</v>
      </c>
      <c r="M98" s="162">
        <f t="shared" si="18"/>
        <v>0</v>
      </c>
      <c r="N98" s="180"/>
      <c r="P98" s="165"/>
    </row>
    <row r="99" spans="1:18" hidden="1">
      <c r="A99" s="256"/>
      <c r="B99" s="23" t="e">
        <f t="shared" si="9"/>
        <v>#N/A</v>
      </c>
      <c r="C99" s="137"/>
      <c r="D99" s="24" t="e">
        <f t="shared" si="10"/>
        <v>#N/A</v>
      </c>
      <c r="E99" s="231" t="e">
        <f t="shared" si="11"/>
        <v>#N/A</v>
      </c>
      <c r="F99" s="225" t="e">
        <f t="shared" si="12"/>
        <v>#N/A</v>
      </c>
      <c r="G99" s="227"/>
      <c r="H99" s="227"/>
      <c r="I99" s="167" t="e">
        <f t="shared" si="16"/>
        <v>#N/A</v>
      </c>
      <c r="J99" s="162">
        <f t="shared" si="19"/>
        <v>0</v>
      </c>
      <c r="K99" s="162">
        <f t="shared" si="20"/>
        <v>0</v>
      </c>
      <c r="L99" s="162">
        <f t="shared" si="21"/>
        <v>0</v>
      </c>
      <c r="M99" s="162">
        <f t="shared" si="18"/>
        <v>0</v>
      </c>
      <c r="N99" s="180"/>
      <c r="P99" s="165"/>
    </row>
    <row r="100" spans="1:18" hidden="1">
      <c r="A100" s="256"/>
      <c r="B100" s="23" t="e">
        <f t="shared" si="9"/>
        <v>#N/A</v>
      </c>
      <c r="C100" s="137"/>
      <c r="D100" s="24" t="e">
        <f t="shared" si="10"/>
        <v>#N/A</v>
      </c>
      <c r="E100" s="231" t="e">
        <f t="shared" si="11"/>
        <v>#N/A</v>
      </c>
      <c r="F100" s="225" t="e">
        <f t="shared" si="12"/>
        <v>#N/A</v>
      </c>
      <c r="G100" s="227"/>
      <c r="H100" s="227"/>
      <c r="I100" s="167" t="e">
        <f t="shared" si="16"/>
        <v>#N/A</v>
      </c>
      <c r="J100" s="162">
        <f t="shared" si="19"/>
        <v>0</v>
      </c>
      <c r="K100" s="162">
        <f t="shared" si="20"/>
        <v>0</v>
      </c>
      <c r="L100" s="162">
        <f t="shared" si="21"/>
        <v>0</v>
      </c>
      <c r="M100" s="162">
        <f t="shared" si="18"/>
        <v>0</v>
      </c>
      <c r="N100" s="180"/>
      <c r="P100" s="165"/>
    </row>
    <row r="101" spans="1:18" hidden="1">
      <c r="A101" s="256"/>
      <c r="B101" s="23" t="e">
        <f t="shared" si="9"/>
        <v>#N/A</v>
      </c>
      <c r="C101" s="137"/>
      <c r="D101" s="24" t="e">
        <f t="shared" si="10"/>
        <v>#N/A</v>
      </c>
      <c r="E101" s="231" t="e">
        <f t="shared" si="11"/>
        <v>#N/A</v>
      </c>
      <c r="F101" s="225" t="e">
        <f t="shared" si="12"/>
        <v>#N/A</v>
      </c>
      <c r="G101" s="227"/>
      <c r="H101" s="227"/>
      <c r="I101" s="167" t="e">
        <f t="shared" si="16"/>
        <v>#N/A</v>
      </c>
      <c r="J101" s="162">
        <f t="shared" si="19"/>
        <v>0</v>
      </c>
      <c r="K101" s="162">
        <f t="shared" si="20"/>
        <v>0</v>
      </c>
      <c r="L101" s="162">
        <f t="shared" si="21"/>
        <v>0</v>
      </c>
      <c r="M101" s="162">
        <f t="shared" si="18"/>
        <v>0</v>
      </c>
      <c r="N101" s="180"/>
      <c r="P101" s="165"/>
    </row>
    <row r="102" spans="1:18" hidden="1">
      <c r="A102" s="256"/>
      <c r="B102" s="23" t="e">
        <f t="shared" si="9"/>
        <v>#N/A</v>
      </c>
      <c r="C102" s="137"/>
      <c r="D102" s="24" t="e">
        <f t="shared" si="10"/>
        <v>#N/A</v>
      </c>
      <c r="E102" s="231" t="e">
        <f t="shared" si="11"/>
        <v>#N/A</v>
      </c>
      <c r="F102" s="225" t="e">
        <f t="shared" si="12"/>
        <v>#N/A</v>
      </c>
      <c r="G102" s="227"/>
      <c r="H102" s="227"/>
      <c r="I102" s="167" t="e">
        <f t="shared" si="16"/>
        <v>#N/A</v>
      </c>
      <c r="J102" s="162">
        <f t="shared" si="19"/>
        <v>0</v>
      </c>
      <c r="K102" s="162">
        <f t="shared" si="20"/>
        <v>0</v>
      </c>
      <c r="L102" s="162">
        <f t="shared" si="21"/>
        <v>0</v>
      </c>
      <c r="M102" s="162">
        <f t="shared" si="18"/>
        <v>0</v>
      </c>
      <c r="N102" s="180"/>
      <c r="P102" s="165"/>
    </row>
    <row r="103" spans="1:18" hidden="1">
      <c r="A103" s="256"/>
      <c r="B103" s="23" t="e">
        <f t="shared" si="9"/>
        <v>#N/A</v>
      </c>
      <c r="C103" s="137"/>
      <c r="D103" s="24" t="e">
        <f t="shared" si="10"/>
        <v>#N/A</v>
      </c>
      <c r="E103" s="231" t="e">
        <f t="shared" si="11"/>
        <v>#N/A</v>
      </c>
      <c r="F103" s="225" t="e">
        <f t="shared" si="12"/>
        <v>#N/A</v>
      </c>
      <c r="G103" s="227"/>
      <c r="H103" s="227"/>
      <c r="I103" s="167" t="e">
        <f t="shared" si="16"/>
        <v>#N/A</v>
      </c>
      <c r="J103" s="162">
        <f t="shared" si="19"/>
        <v>0</v>
      </c>
      <c r="K103" s="162">
        <f t="shared" si="20"/>
        <v>0</v>
      </c>
      <c r="L103" s="162">
        <f t="shared" si="21"/>
        <v>0</v>
      </c>
      <c r="M103" s="162">
        <f t="shared" si="18"/>
        <v>0</v>
      </c>
      <c r="N103" s="180"/>
      <c r="P103" s="165"/>
    </row>
    <row r="104" spans="1:18" hidden="1">
      <c r="A104" s="256"/>
      <c r="B104" s="23" t="e">
        <f t="shared" si="9"/>
        <v>#N/A</v>
      </c>
      <c r="C104" s="137"/>
      <c r="D104" s="24" t="e">
        <f t="shared" si="10"/>
        <v>#N/A</v>
      </c>
      <c r="E104" s="231" t="e">
        <f t="shared" si="11"/>
        <v>#N/A</v>
      </c>
      <c r="F104" s="225" t="e">
        <f t="shared" si="12"/>
        <v>#N/A</v>
      </c>
      <c r="G104" s="227"/>
      <c r="H104" s="227"/>
      <c r="I104" s="167" t="e">
        <f t="shared" si="16"/>
        <v>#N/A</v>
      </c>
      <c r="J104" s="162">
        <f t="shared" si="19"/>
        <v>0</v>
      </c>
      <c r="K104" s="162">
        <f t="shared" si="20"/>
        <v>0</v>
      </c>
      <c r="L104" s="162">
        <f t="shared" si="21"/>
        <v>0</v>
      </c>
      <c r="M104" s="162">
        <f t="shared" si="18"/>
        <v>0</v>
      </c>
      <c r="N104" s="180"/>
      <c r="P104" s="165"/>
    </row>
    <row r="105" spans="1:18" hidden="1">
      <c r="A105" s="256"/>
      <c r="B105" s="23" t="e">
        <f t="shared" si="9"/>
        <v>#N/A</v>
      </c>
      <c r="C105" s="137"/>
      <c r="D105" s="24" t="e">
        <f t="shared" si="10"/>
        <v>#N/A</v>
      </c>
      <c r="E105" s="231" t="e">
        <f t="shared" si="11"/>
        <v>#N/A</v>
      </c>
      <c r="F105" s="225" t="e">
        <f t="shared" si="12"/>
        <v>#N/A</v>
      </c>
      <c r="G105" s="227"/>
      <c r="H105" s="227"/>
      <c r="I105" s="167" t="e">
        <f t="shared" si="16"/>
        <v>#N/A</v>
      </c>
      <c r="J105" s="162">
        <f t="shared" si="19"/>
        <v>0</v>
      </c>
      <c r="K105" s="162">
        <f t="shared" si="20"/>
        <v>0</v>
      </c>
      <c r="L105" s="162">
        <f t="shared" si="21"/>
        <v>0</v>
      </c>
      <c r="M105" s="162">
        <f t="shared" si="18"/>
        <v>0</v>
      </c>
      <c r="N105" s="180"/>
      <c r="P105" s="165"/>
    </row>
    <row r="106" spans="1:18">
      <c r="A106" s="256"/>
      <c r="B106" s="23" t="e">
        <f t="shared" si="9"/>
        <v>#N/A</v>
      </c>
      <c r="C106" s="137"/>
      <c r="D106" s="24" t="e">
        <f t="shared" si="10"/>
        <v>#N/A</v>
      </c>
      <c r="E106" s="231" t="e">
        <f t="shared" si="11"/>
        <v>#N/A</v>
      </c>
      <c r="F106" s="225" t="e">
        <f t="shared" si="12"/>
        <v>#N/A</v>
      </c>
      <c r="G106" s="227"/>
      <c r="H106" s="227"/>
      <c r="I106" s="167" t="e">
        <f t="shared" si="16"/>
        <v>#N/A</v>
      </c>
      <c r="J106" s="162">
        <f t="shared" si="19"/>
        <v>0</v>
      </c>
      <c r="K106" s="162">
        <f t="shared" si="20"/>
        <v>0</v>
      </c>
      <c r="L106" s="162">
        <f t="shared" si="21"/>
        <v>0</v>
      </c>
      <c r="M106" s="162">
        <f t="shared" si="18"/>
        <v>0</v>
      </c>
      <c r="N106" s="180"/>
      <c r="P106" s="165"/>
    </row>
    <row r="107" spans="1:18">
      <c r="A107" s="256"/>
      <c r="B107" s="23" t="e">
        <f t="shared" si="9"/>
        <v>#N/A</v>
      </c>
      <c r="C107" s="137"/>
      <c r="D107" s="24" t="e">
        <f t="shared" si="10"/>
        <v>#N/A</v>
      </c>
      <c r="E107" s="231" t="e">
        <f t="shared" si="11"/>
        <v>#N/A</v>
      </c>
      <c r="F107" s="225" t="e">
        <f t="shared" si="12"/>
        <v>#N/A</v>
      </c>
      <c r="G107" s="227"/>
      <c r="H107" s="227"/>
      <c r="I107" s="167" t="e">
        <f t="shared" si="16"/>
        <v>#N/A</v>
      </c>
      <c r="J107" s="162">
        <f t="shared" si="19"/>
        <v>0</v>
      </c>
      <c r="K107" s="162">
        <f t="shared" si="20"/>
        <v>0</v>
      </c>
      <c r="L107" s="162">
        <f t="shared" si="21"/>
        <v>0</v>
      </c>
      <c r="M107" s="162">
        <f t="shared" si="18"/>
        <v>0</v>
      </c>
      <c r="N107" s="180"/>
      <c r="P107" s="165"/>
    </row>
    <row r="108" spans="1:18" ht="13.5" thickBot="1">
      <c r="A108" s="257"/>
      <c r="B108" s="181"/>
      <c r="C108" s="181"/>
      <c r="D108" s="182"/>
      <c r="E108" s="183"/>
      <c r="F108" s="228"/>
      <c r="G108" s="229"/>
      <c r="H108" s="229"/>
      <c r="I108" s="230"/>
      <c r="J108" s="183"/>
      <c r="K108" s="183"/>
      <c r="L108" s="183"/>
      <c r="M108" s="184"/>
      <c r="N108" s="180"/>
      <c r="P108" s="165"/>
    </row>
    <row r="109" spans="1:18" ht="13.5" thickTop="1">
      <c r="A109" s="258"/>
      <c r="B109" s="137"/>
      <c r="C109" s="137"/>
      <c r="D109" s="139"/>
      <c r="E109" s="142"/>
      <c r="F109" s="142"/>
      <c r="I109" s="185" t="s">
        <v>115</v>
      </c>
      <c r="J109" s="186">
        <f>SUM(J8:J108)</f>
        <v>1830101.355</v>
      </c>
      <c r="K109" s="187"/>
      <c r="L109" s="188">
        <f>SUM(L8:L108)</f>
        <v>382058.42</v>
      </c>
      <c r="M109" s="189">
        <f>SUM(M8:M108)</f>
        <v>1448042.9350000001</v>
      </c>
      <c r="N109" s="137"/>
      <c r="P109" s="165"/>
    </row>
    <row r="110" spans="1:18">
      <c r="A110" s="258" t="s">
        <v>56</v>
      </c>
      <c r="B110" s="137"/>
      <c r="C110" s="137"/>
      <c r="D110" s="139"/>
      <c r="E110" s="137" t="s">
        <v>57</v>
      </c>
      <c r="F110" s="137"/>
      <c r="G110" s="199" t="s">
        <v>119</v>
      </c>
      <c r="H110" s="142"/>
      <c r="K110" s="141"/>
      <c r="L110" s="141"/>
      <c r="M110" s="141" t="s">
        <v>63</v>
      </c>
      <c r="N110" s="165"/>
      <c r="O110" s="145">
        <f>L109</f>
        <v>382058.42</v>
      </c>
      <c r="P110" s="165"/>
    </row>
    <row r="111" spans="1:18">
      <c r="A111" s="258"/>
      <c r="B111" s="137"/>
      <c r="E111" t="str">
        <f>'PROJECT INFO'!F16</f>
        <v>384-8101-439-7517</v>
      </c>
      <c r="F111"/>
      <c r="G111" s="217">
        <f>'PROJECT INFO'!C16</f>
        <v>0</v>
      </c>
      <c r="H111" s="347">
        <v>50944.1</v>
      </c>
      <c r="I111" t="str">
        <f>'PROJECT INFO'!J16</f>
        <v>(NTE $1,004,711.76)</v>
      </c>
      <c r="L111" s="141"/>
      <c r="M111" s="141" t="s">
        <v>58</v>
      </c>
      <c r="N111" s="165"/>
      <c r="O111" s="145">
        <v>0</v>
      </c>
      <c r="P111" s="165"/>
    </row>
    <row r="112" spans="1:18">
      <c r="A112" s="259" t="s">
        <v>85</v>
      </c>
      <c r="B112" s="190"/>
      <c r="C112" s="190"/>
      <c r="D112" s="207"/>
      <c r="E112" s="344" t="str">
        <f>'PROJECT INFO'!F17</f>
        <v>607-7704-39-7517</v>
      </c>
      <c r="F112" s="344"/>
      <c r="G112" s="217">
        <f>'PROJECT INFO'!C17</f>
        <v>0</v>
      </c>
      <c r="H112" s="347"/>
      <c r="I112" t="str">
        <f>'PROJECT INFO'!J17</f>
        <v>(NTE $300,000.00)</v>
      </c>
      <c r="L112" s="141"/>
      <c r="M112" s="141" t="str">
        <f>IF(Q112="Y","LESS: 3% RETAINED (MAX $30,000):","LESS: 5% RETAINED:")</f>
        <v>LESS: 5% RETAINED:</v>
      </c>
      <c r="N112" s="165"/>
      <c r="O112" s="145">
        <f>IF(Q112="Y",IF(0.03*O110&lt;30000,ROUND(0.03*O110,2),30000),ROUND(0.05*O110,2))</f>
        <v>19102.919999999998</v>
      </c>
      <c r="P112" s="165"/>
      <c r="Q112" s="191" t="s">
        <v>106</v>
      </c>
      <c r="R112" s="192" t="s">
        <v>107</v>
      </c>
    </row>
    <row r="113" spans="1:17">
      <c r="A113" s="258"/>
      <c r="B113" s="137"/>
      <c r="E113" s="345" t="str">
        <f>'PROJECT INFO'!F18</f>
        <v>510-8461489-7514</v>
      </c>
      <c r="F113" s="345"/>
      <c r="G113" s="217">
        <f>'PROJECT INFO'!C18</f>
        <v>0</v>
      </c>
      <c r="H113" s="347">
        <v>216457.5</v>
      </c>
      <c r="I113" t="str">
        <f>'PROJECT INFO'!J18</f>
        <v>(NTE $360,255.50)</v>
      </c>
      <c r="L113" s="141"/>
      <c r="M113" s="141" t="s">
        <v>59</v>
      </c>
      <c r="N113" s="165"/>
      <c r="O113" s="145">
        <f>O110+O111-O112</f>
        <v>362955.5</v>
      </c>
      <c r="P113" s="165"/>
    </row>
    <row r="114" spans="1:17">
      <c r="A114" s="259" t="s">
        <v>60</v>
      </c>
      <c r="B114" s="190"/>
      <c r="C114" s="190"/>
      <c r="D114" s="207"/>
      <c r="E114" s="346" t="str">
        <f>'PROJECT INFO'!F19</f>
        <v>520-8542-489-7514</v>
      </c>
      <c r="F114" s="346"/>
      <c r="G114" s="217">
        <f>'PROJECT INFO'!C19</f>
        <v>0</v>
      </c>
      <c r="H114" s="347"/>
      <c r="I114" t="str">
        <f>'PROJECT INFO'!J19</f>
        <v>(NTE $163,034.10)</v>
      </c>
      <c r="L114" s="141"/>
      <c r="M114" s="141" t="s">
        <v>61</v>
      </c>
      <c r="N114" s="165"/>
      <c r="O114" s="145">
        <f>O33</f>
        <v>95553.900000000009</v>
      </c>
      <c r="P114" s="165"/>
    </row>
    <row r="115" spans="1:17">
      <c r="A115" s="258"/>
      <c r="B115" s="137"/>
      <c r="E115">
        <f>'PROJECT INFO'!F20</f>
        <v>0</v>
      </c>
      <c r="F115"/>
      <c r="G115" s="217">
        <f>'PROJECT INFO'!C20</f>
        <v>0</v>
      </c>
      <c r="H115" s="208"/>
      <c r="I115" t="str">
        <f>'PROJECT INFO'!J20</f>
        <v>(NTE $00.00)</v>
      </c>
      <c r="L115" s="193"/>
      <c r="M115" s="193" t="s">
        <v>62</v>
      </c>
      <c r="N115" s="194"/>
      <c r="O115" s="195">
        <f>O113-O114</f>
        <v>267401.59999999998</v>
      </c>
      <c r="P115" s="165"/>
    </row>
    <row r="116" spans="1:17">
      <c r="A116" s="258"/>
      <c r="B116" s="137"/>
      <c r="C116" s="137"/>
      <c r="D116" s="139"/>
      <c r="E116">
        <f>'PROJECT INFO'!F21</f>
        <v>0</v>
      </c>
      <c r="F116"/>
      <c r="G116" s="217">
        <f>'PROJECT INFO'!C21</f>
        <v>0</v>
      </c>
      <c r="H116" s="208"/>
      <c r="I116" t="str">
        <f>'PROJECT INFO'!J21</f>
        <v>(NTE $00.00)</v>
      </c>
      <c r="K116" s="137"/>
      <c r="L116" s="137"/>
      <c r="M116" s="137"/>
      <c r="N116" s="137"/>
      <c r="O116" s="137"/>
      <c r="P116" s="165"/>
    </row>
    <row r="117" spans="1:17">
      <c r="E117">
        <f>'PROJECT INFO'!F22</f>
        <v>0</v>
      </c>
      <c r="F117"/>
      <c r="G117" s="217">
        <f>'PROJECT INFO'!C22</f>
        <v>0</v>
      </c>
      <c r="H117" s="208"/>
      <c r="I117" t="str">
        <f>'PROJECT INFO'!J22</f>
        <v>(NTE $00.00)</v>
      </c>
    </row>
    <row r="118" spans="1:17">
      <c r="E118">
        <f>'PROJECT INFO'!F23</f>
        <v>0</v>
      </c>
      <c r="F118"/>
      <c r="G118" s="217">
        <f>'PROJECT INFO'!C23</f>
        <v>0</v>
      </c>
      <c r="H118" s="208"/>
      <c r="I118" t="str">
        <f>'PROJECT INFO'!J23</f>
        <v>(NTE $00.00)</v>
      </c>
    </row>
    <row r="119" spans="1:17">
      <c r="D119" s="139"/>
      <c r="E119">
        <f>'PROJECT INFO'!F24</f>
        <v>0</v>
      </c>
      <c r="F119"/>
      <c r="G119" s="217">
        <f>'PROJECT INFO'!C24</f>
        <v>0</v>
      </c>
      <c r="H119" s="208"/>
      <c r="I119" t="str">
        <f>'PROJECT INFO'!J24</f>
        <v>(NTE $00.00)</v>
      </c>
    </row>
    <row r="120" spans="1:17">
      <c r="D120" s="139"/>
      <c r="E120">
        <f>'PROJECT INFO'!F25</f>
        <v>0</v>
      </c>
      <c r="F120"/>
      <c r="G120" s="217">
        <f>'PROJECT INFO'!C25</f>
        <v>0</v>
      </c>
      <c r="H120" s="208"/>
      <c r="I120" t="str">
        <f>'PROJECT INFO'!J25</f>
        <v>(NTE $00.00)</v>
      </c>
    </row>
    <row r="121" spans="1:17">
      <c r="A121" s="261" t="s">
        <v>122</v>
      </c>
      <c r="D121" s="139"/>
      <c r="E121" s="142"/>
      <c r="K121" s="200"/>
      <c r="L121" s="200"/>
      <c r="M121" s="201" t="s">
        <v>108</v>
      </c>
      <c r="N121" s="200"/>
      <c r="O121" s="202">
        <f>O5-O33</f>
        <v>1734547.4600000002</v>
      </c>
      <c r="Q121" s="140" t="s">
        <v>121</v>
      </c>
    </row>
    <row r="122" spans="1:17">
      <c r="D122" s="139"/>
      <c r="E122" s="142"/>
      <c r="K122" s="200"/>
      <c r="L122" s="200"/>
      <c r="M122" s="203" t="s">
        <v>109</v>
      </c>
      <c r="N122" s="204"/>
      <c r="O122" s="205">
        <f>O121-O115</f>
        <v>1467145.8600000003</v>
      </c>
    </row>
    <row r="123" spans="1:17">
      <c r="E123" s="142"/>
    </row>
    <row r="124" spans="1:17">
      <c r="E124" s="142"/>
    </row>
    <row r="125" spans="1:17">
      <c r="E125" s="142"/>
    </row>
    <row r="126" spans="1:17">
      <c r="E126" s="142"/>
    </row>
    <row r="127" spans="1:17">
      <c r="E127" s="142"/>
      <c r="G127" s="140" t="s">
        <v>294</v>
      </c>
      <c r="H127" s="353">
        <f>SUM(H111:H114)</f>
        <v>267401.59999999998</v>
      </c>
    </row>
    <row r="128" spans="1:17">
      <c r="E128" s="142"/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C148" s="137"/>
      <c r="E148" s="142"/>
    </row>
    <row r="149" spans="3:5">
      <c r="E149" s="142"/>
    </row>
    <row r="150" spans="3:5">
      <c r="E150" s="142"/>
    </row>
  </sheetData>
  <conditionalFormatting sqref="B8:I107">
    <cfRule type="expression" dxfId="31" priority="2">
      <formula>ISERROR(B8)</formula>
    </cfRule>
  </conditionalFormatting>
  <conditionalFormatting sqref="E111:F120 H111:H120">
    <cfRule type="expression" dxfId="30" priority="4">
      <formula>ISTEXT($E111)</formula>
    </cfRule>
  </conditionalFormatting>
  <conditionalFormatting sqref="E111:I120">
    <cfRule type="expression" dxfId="29" priority="1">
      <formula>ISNUMBER($E111)</formula>
    </cfRule>
  </conditionalFormatting>
  <conditionalFormatting sqref="K8:K107">
    <cfRule type="cellIs" dxfId="28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C1F27-1285-4027-8187-E52304136052}">
  <sheetPr>
    <pageSetUpPr autoPageBreaks="0" fitToPage="1"/>
  </sheetPr>
  <dimension ref="A1:R150"/>
  <sheetViews>
    <sheetView showOutlineSymbols="0" topLeftCell="A52" zoomScale="80" zoomScaleNormal="80" zoomScaleSheetLayoutView="100" workbookViewId="0">
      <selection activeCell="J53" sqref="J53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2" width="13.710937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6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6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6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6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3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6">
      <c r="A5" s="137"/>
      <c r="B5" s="137"/>
      <c r="C5" s="143" t="str">
        <f>Contractor_Address2</f>
        <v>Ames, IA 50010</v>
      </c>
      <c r="F5" s="138" t="s">
        <v>46</v>
      </c>
      <c r="G5" s="146">
        <v>45454</v>
      </c>
      <c r="I5" s="147"/>
      <c r="J5" s="148"/>
      <c r="L5" s="141"/>
      <c r="M5" s="141" t="s">
        <v>47</v>
      </c>
      <c r="N5" s="139"/>
      <c r="O5" s="145">
        <f>SUM(O4+O19)</f>
        <v>1830101.36</v>
      </c>
      <c r="P5" s="137"/>
    </row>
    <row r="6" spans="1:16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6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6">
      <c r="A8" s="256"/>
      <c r="B8" s="23" t="e">
        <f t="shared" ref="B8:B72" si="0">VLOOKUP($A8,BIDTAB,2,FALSE)</f>
        <v>#N/A</v>
      </c>
      <c r="C8" s="137"/>
      <c r="D8" s="24" t="e">
        <f t="shared" ref="D8:D72" si="1">VLOOKUP($A8,BIDTAB,3,FALSE)</f>
        <v>#N/A</v>
      </c>
      <c r="E8" s="231" t="e">
        <f t="shared" ref="E8:E72" si="2">VLOOKUP($A8,BIDTAB,7,FALSE)</f>
        <v>#N/A</v>
      </c>
      <c r="F8" s="223" t="e">
        <f t="shared" ref="F8:F72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2" si="4">IF(ISERROR(F8*E8),0,F8*E8)</f>
        <v>0</v>
      </c>
      <c r="K8" s="162">
        <f t="shared" ref="K8:K72" si="5">IF(ISERROR(G8*E8),0,G8*E8)</f>
        <v>0</v>
      </c>
      <c r="L8" s="162">
        <f t="shared" ref="L8:L72" si="6">IF(ISERROR(H8*E8),0,H8*E8)</f>
        <v>0</v>
      </c>
      <c r="M8" s="162">
        <f>SUM(J8:K8)-L8</f>
        <v>0</v>
      </c>
      <c r="N8" s="163" t="s">
        <v>53</v>
      </c>
      <c r="O8" s="164"/>
      <c r="P8" s="165"/>
    </row>
    <row r="9" spans="1:16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/>
      <c r="I9" s="167">
        <f t="shared" ref="I9:I73" si="7">IF(ISBLANK(G9),F9,F9+G9)-H9</f>
        <v>991.3</v>
      </c>
      <c r="J9" s="162">
        <f t="shared" si="4"/>
        <v>27756.399999999998</v>
      </c>
      <c r="K9" s="162">
        <f t="shared" si="5"/>
        <v>0</v>
      </c>
      <c r="L9" s="162">
        <f t="shared" si="6"/>
        <v>0</v>
      </c>
      <c r="M9" s="162">
        <f t="shared" ref="M9:M73" si="8">SUM(J9:K9)-L9</f>
        <v>27756.399999999998</v>
      </c>
      <c r="N9" s="168"/>
      <c r="O9" s="169"/>
      <c r="P9" s="165"/>
    </row>
    <row r="10" spans="1:16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/>
      <c r="I10" s="167">
        <f t="shared" si="7"/>
        <v>3053.5</v>
      </c>
      <c r="J10" s="162">
        <f t="shared" si="4"/>
        <v>61070</v>
      </c>
      <c r="K10" s="162">
        <f t="shared" si="5"/>
        <v>0</v>
      </c>
      <c r="L10" s="162">
        <f t="shared" si="6"/>
        <v>0</v>
      </c>
      <c r="M10" s="162">
        <f t="shared" si="8"/>
        <v>61070</v>
      </c>
      <c r="N10" s="170">
        <v>1</v>
      </c>
      <c r="O10" s="352">
        <v>2100</v>
      </c>
      <c r="P10" s="165"/>
    </row>
    <row r="11" spans="1:16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/>
      <c r="I11" s="167">
        <f t="shared" si="7"/>
        <v>11990</v>
      </c>
      <c r="J11" s="162">
        <f t="shared" si="4"/>
        <v>38967.5</v>
      </c>
      <c r="K11" s="162">
        <f t="shared" si="5"/>
        <v>0</v>
      </c>
      <c r="L11" s="162">
        <f t="shared" si="6"/>
        <v>0</v>
      </c>
      <c r="M11" s="162">
        <f t="shared" si="8"/>
        <v>38967.5</v>
      </c>
      <c r="N11" s="171">
        <v>2</v>
      </c>
      <c r="O11" s="238"/>
      <c r="P11" s="165"/>
    </row>
    <row r="12" spans="1:16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/>
      <c r="I12" s="167">
        <f t="shared" si="7"/>
        <v>11990</v>
      </c>
      <c r="J12" s="162">
        <f t="shared" si="4"/>
        <v>107910</v>
      </c>
      <c r="K12" s="162">
        <f t="shared" si="5"/>
        <v>0</v>
      </c>
      <c r="L12" s="162">
        <f t="shared" si="6"/>
        <v>0</v>
      </c>
      <c r="M12" s="162">
        <f t="shared" si="8"/>
        <v>107910</v>
      </c>
      <c r="N12" s="171">
        <v>3</v>
      </c>
      <c r="O12" s="238"/>
      <c r="P12" s="165"/>
    </row>
    <row r="13" spans="1:16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</row>
    <row r="14" spans="1:16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263</v>
      </c>
      <c r="I14" s="305">
        <f t="shared" si="7"/>
        <v>315</v>
      </c>
      <c r="J14" s="306">
        <f t="shared" si="4"/>
        <v>42483</v>
      </c>
      <c r="K14" s="306">
        <f t="shared" si="5"/>
        <v>0</v>
      </c>
      <c r="L14" s="306">
        <f t="shared" si="6"/>
        <v>19330.5</v>
      </c>
      <c r="M14" s="306">
        <f t="shared" si="8"/>
        <v>23152.5</v>
      </c>
      <c r="N14" s="171">
        <v>5</v>
      </c>
      <c r="O14" s="238"/>
      <c r="P14" s="165"/>
    </row>
    <row r="15" spans="1:16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10</v>
      </c>
      <c r="I15" s="305">
        <f t="shared" si="7"/>
        <v>2</v>
      </c>
      <c r="J15" s="306">
        <f t="shared" si="4"/>
        <v>25200</v>
      </c>
      <c r="K15" s="306">
        <f t="shared" si="5"/>
        <v>0</v>
      </c>
      <c r="L15" s="306">
        <f t="shared" si="6"/>
        <v>21000</v>
      </c>
      <c r="M15" s="306">
        <f t="shared" si="8"/>
        <v>4200</v>
      </c>
      <c r="N15" s="171">
        <v>6</v>
      </c>
      <c r="O15" s="238"/>
      <c r="P15" s="165"/>
    </row>
    <row r="16" spans="1:16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263</v>
      </c>
      <c r="I16" s="305">
        <f t="shared" si="7"/>
        <v>315</v>
      </c>
      <c r="J16" s="306">
        <f t="shared" si="4"/>
        <v>12138</v>
      </c>
      <c r="K16" s="306">
        <f t="shared" si="5"/>
        <v>0</v>
      </c>
      <c r="L16" s="306">
        <f t="shared" si="6"/>
        <v>5523</v>
      </c>
      <c r="M16" s="306">
        <f t="shared" si="8"/>
        <v>6615</v>
      </c>
      <c r="N16" s="171">
        <v>7</v>
      </c>
      <c r="O16" s="238"/>
      <c r="P16" s="165"/>
    </row>
    <row r="17" spans="1:16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412</v>
      </c>
      <c r="I17" s="167">
        <f t="shared" si="7"/>
        <v>114</v>
      </c>
      <c r="J17" s="162">
        <f t="shared" si="4"/>
        <v>38661</v>
      </c>
      <c r="K17" s="162">
        <f t="shared" si="5"/>
        <v>0</v>
      </c>
      <c r="L17" s="162">
        <f t="shared" si="6"/>
        <v>30282</v>
      </c>
      <c r="M17" s="162">
        <f t="shared" si="8"/>
        <v>8379</v>
      </c>
      <c r="N17" s="171">
        <v>8</v>
      </c>
      <c r="O17" s="238"/>
      <c r="P17" s="165"/>
    </row>
    <row r="18" spans="1:16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412</v>
      </c>
      <c r="I18" s="167">
        <f t="shared" si="7"/>
        <v>114</v>
      </c>
      <c r="J18" s="162">
        <f t="shared" si="4"/>
        <v>11046</v>
      </c>
      <c r="K18" s="162">
        <f t="shared" si="5"/>
        <v>0</v>
      </c>
      <c r="L18" s="162">
        <f t="shared" si="6"/>
        <v>8652</v>
      </c>
      <c r="M18" s="162">
        <f t="shared" si="8"/>
        <v>2394</v>
      </c>
      <c r="N18" s="172"/>
      <c r="O18" s="239" t="s">
        <v>10</v>
      </c>
      <c r="P18" s="165"/>
    </row>
    <row r="19" spans="1:16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0</v>
      </c>
      <c r="I19" s="167">
        <f t="shared" si="7"/>
        <v>200</v>
      </c>
      <c r="J19" s="162">
        <f t="shared" si="4"/>
        <v>5100</v>
      </c>
      <c r="K19" s="162">
        <f t="shared" si="5"/>
        <v>0</v>
      </c>
      <c r="L19" s="162">
        <f t="shared" si="6"/>
        <v>0</v>
      </c>
      <c r="M19" s="162">
        <f t="shared" si="8"/>
        <v>5100</v>
      </c>
      <c r="N19" s="173"/>
      <c r="O19" s="240">
        <f>SUM(O10:O17)</f>
        <v>2100</v>
      </c>
      <c r="P19" s="165"/>
    </row>
    <row r="20" spans="1:16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0</v>
      </c>
      <c r="I20" s="167">
        <f t="shared" si="7"/>
        <v>1</v>
      </c>
      <c r="J20" s="162">
        <f t="shared" si="4"/>
        <v>850</v>
      </c>
      <c r="K20" s="162">
        <f t="shared" si="5"/>
        <v>0</v>
      </c>
      <c r="L20" s="162">
        <f t="shared" si="6"/>
        <v>0</v>
      </c>
      <c r="M20" s="162">
        <f t="shared" si="8"/>
        <v>850</v>
      </c>
      <c r="N20" s="174"/>
      <c r="O20" s="241"/>
      <c r="P20" s="165"/>
    </row>
    <row r="21" spans="1:16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7</v>
      </c>
      <c r="I21" s="167">
        <f t="shared" si="7"/>
        <v>-6</v>
      </c>
      <c r="J21" s="162">
        <f t="shared" si="4"/>
        <v>600</v>
      </c>
      <c r="K21" s="162">
        <f t="shared" si="5"/>
        <v>0</v>
      </c>
      <c r="L21" s="162">
        <f t="shared" si="6"/>
        <v>4200</v>
      </c>
      <c r="M21" s="162">
        <f t="shared" si="8"/>
        <v>-3600</v>
      </c>
      <c r="N21" s="175" t="s">
        <v>54</v>
      </c>
      <c r="O21" s="242"/>
      <c r="P21" s="165"/>
    </row>
    <row r="22" spans="1:16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</row>
    <row r="23" spans="1:16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</row>
    <row r="24" spans="1:16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</row>
    <row r="25" spans="1:16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</row>
    <row r="26" spans="1:16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25.5</v>
      </c>
      <c r="I26" s="295">
        <f t="shared" si="7"/>
        <v>-1.5</v>
      </c>
      <c r="J26" s="296">
        <f t="shared" si="4"/>
        <v>2520</v>
      </c>
      <c r="K26" s="296">
        <f t="shared" si="5"/>
        <v>0</v>
      </c>
      <c r="L26" s="296">
        <f t="shared" si="6"/>
        <v>2677.5</v>
      </c>
      <c r="M26" s="296">
        <f t="shared" si="8"/>
        <v>-157.5</v>
      </c>
      <c r="N26" s="171">
        <v>2</v>
      </c>
      <c r="O26" s="239">
        <v>267401.59999999998</v>
      </c>
      <c r="P26" s="165"/>
    </row>
    <row r="27" spans="1:16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/>
      <c r="P27" s="165"/>
    </row>
    <row r="28" spans="1:16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/>
      <c r="P28" s="165"/>
    </row>
    <row r="29" spans="1:16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/>
      <c r="P29" s="165"/>
    </row>
    <row r="30" spans="1:16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/>
      <c r="P30" s="165"/>
    </row>
    <row r="31" spans="1:16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2</v>
      </c>
      <c r="I31" s="295">
        <f t="shared" si="7"/>
        <v>3</v>
      </c>
      <c r="J31" s="296">
        <f t="shared" si="4"/>
        <v>2625</v>
      </c>
      <c r="K31" s="296">
        <f t="shared" si="5"/>
        <v>0</v>
      </c>
      <c r="L31" s="296">
        <f t="shared" si="6"/>
        <v>1050</v>
      </c>
      <c r="M31" s="296">
        <f t="shared" si="8"/>
        <v>1575</v>
      </c>
      <c r="N31" s="177">
        <v>7</v>
      </c>
      <c r="O31" s="244"/>
      <c r="P31" s="165"/>
    </row>
    <row r="32" spans="1:16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</row>
    <row r="33" spans="1:16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6</v>
      </c>
      <c r="I33" s="295">
        <f t="shared" si="7"/>
        <v>-5</v>
      </c>
      <c r="J33" s="296">
        <f t="shared" si="4"/>
        <v>420</v>
      </c>
      <c r="K33" s="296">
        <f t="shared" si="5"/>
        <v>0</v>
      </c>
      <c r="L33" s="296">
        <f t="shared" si="6"/>
        <v>2520</v>
      </c>
      <c r="M33" s="296">
        <f t="shared" si="8"/>
        <v>-2100</v>
      </c>
      <c r="N33" s="179"/>
      <c r="O33" s="246">
        <f>SUM(O25:O31)</f>
        <v>362955.5</v>
      </c>
      <c r="P33" s="165"/>
    </row>
    <row r="34" spans="1:16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2</v>
      </c>
      <c r="I34" s="295">
        <f t="shared" si="7"/>
        <v>-1</v>
      </c>
      <c r="J34" s="296">
        <f t="shared" si="4"/>
        <v>420</v>
      </c>
      <c r="K34" s="296">
        <f t="shared" si="5"/>
        <v>0</v>
      </c>
      <c r="L34" s="296">
        <f t="shared" si="6"/>
        <v>840</v>
      </c>
      <c r="M34" s="296">
        <f t="shared" si="8"/>
        <v>-420</v>
      </c>
      <c r="N34" s="180"/>
      <c r="P34" s="165"/>
    </row>
    <row r="35" spans="1:16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</row>
    <row r="36" spans="1:16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</row>
    <row r="37" spans="1:16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>
        <v>17</v>
      </c>
      <c r="I37" s="295">
        <f t="shared" si="7"/>
        <v>-2</v>
      </c>
      <c r="J37" s="296">
        <f t="shared" si="4"/>
        <v>63000</v>
      </c>
      <c r="K37" s="296">
        <f t="shared" si="5"/>
        <v>0</v>
      </c>
      <c r="L37" s="296">
        <f t="shared" si="6"/>
        <v>71400</v>
      </c>
      <c r="M37" s="296">
        <f t="shared" si="8"/>
        <v>-8400</v>
      </c>
      <c r="N37" s="180"/>
      <c r="P37" s="165"/>
    </row>
    <row r="38" spans="1:16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>
        <v>17</v>
      </c>
      <c r="I38" s="295">
        <f t="shared" si="7"/>
        <v>-2</v>
      </c>
      <c r="J38" s="296">
        <f t="shared" si="4"/>
        <v>47250</v>
      </c>
      <c r="K38" s="296">
        <f t="shared" si="5"/>
        <v>0</v>
      </c>
      <c r="L38" s="296">
        <f t="shared" si="6"/>
        <v>53550</v>
      </c>
      <c r="M38" s="296">
        <f t="shared" si="8"/>
        <v>-6300</v>
      </c>
      <c r="N38" s="180"/>
      <c r="P38" s="165"/>
    </row>
    <row r="39" spans="1:16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</row>
    <row r="40" spans="1:16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1</v>
      </c>
      <c r="I40" s="295">
        <f t="shared" si="7"/>
        <v>1</v>
      </c>
      <c r="J40" s="296">
        <f t="shared" si="4"/>
        <v>3150</v>
      </c>
      <c r="K40" s="296">
        <f t="shared" si="5"/>
        <v>0</v>
      </c>
      <c r="L40" s="296">
        <f t="shared" si="6"/>
        <v>1575</v>
      </c>
      <c r="M40" s="296">
        <f t="shared" si="8"/>
        <v>1575</v>
      </c>
      <c r="N40" s="180"/>
      <c r="P40" s="165"/>
    </row>
    <row r="41" spans="1:16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4</v>
      </c>
      <c r="I41" s="295">
        <f t="shared" si="7"/>
        <v>1</v>
      </c>
      <c r="J41" s="296">
        <f t="shared" si="4"/>
        <v>42000</v>
      </c>
      <c r="K41" s="296">
        <f t="shared" si="5"/>
        <v>0</v>
      </c>
      <c r="L41" s="296">
        <f t="shared" si="6"/>
        <v>33600</v>
      </c>
      <c r="M41" s="296">
        <f t="shared" si="8"/>
        <v>8400</v>
      </c>
      <c r="N41" s="180"/>
      <c r="P41" s="165"/>
    </row>
    <row r="42" spans="1:16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0</v>
      </c>
      <c r="I42" s="295">
        <f t="shared" si="7"/>
        <v>10</v>
      </c>
      <c r="J42" s="296">
        <f t="shared" si="4"/>
        <v>6500</v>
      </c>
      <c r="K42" s="296">
        <f t="shared" si="5"/>
        <v>0</v>
      </c>
      <c r="L42" s="296">
        <f t="shared" si="6"/>
        <v>0</v>
      </c>
      <c r="M42" s="296">
        <f t="shared" si="8"/>
        <v>6500</v>
      </c>
      <c r="N42" s="180"/>
      <c r="P42" s="165"/>
    </row>
    <row r="43" spans="1:16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2</v>
      </c>
      <c r="I43" s="295">
        <f t="shared" si="7"/>
        <v>2</v>
      </c>
      <c r="J43" s="296">
        <f t="shared" si="4"/>
        <v>4200</v>
      </c>
      <c r="K43" s="296">
        <f t="shared" si="5"/>
        <v>0</v>
      </c>
      <c r="L43" s="296">
        <f t="shared" si="6"/>
        <v>2100</v>
      </c>
      <c r="M43" s="296">
        <f t="shared" si="8"/>
        <v>2100</v>
      </c>
      <c r="N43" s="180"/>
      <c r="P43" s="165"/>
    </row>
    <row r="44" spans="1:16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4</v>
      </c>
      <c r="I44" s="295">
        <f t="shared" si="7"/>
        <v>-2</v>
      </c>
      <c r="J44" s="296">
        <f t="shared" si="4"/>
        <v>1050</v>
      </c>
      <c r="K44" s="296">
        <f t="shared" si="5"/>
        <v>0</v>
      </c>
      <c r="L44" s="296">
        <f t="shared" si="6"/>
        <v>2100</v>
      </c>
      <c r="M44" s="296">
        <f t="shared" si="8"/>
        <v>-1050</v>
      </c>
      <c r="N44" s="180"/>
      <c r="P44" s="165"/>
    </row>
    <row r="45" spans="1:16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4</v>
      </c>
      <c r="I45" s="295">
        <f t="shared" si="7"/>
        <v>8</v>
      </c>
      <c r="J45" s="296">
        <f t="shared" si="4"/>
        <v>6300</v>
      </c>
      <c r="K45" s="296">
        <f t="shared" si="5"/>
        <v>0</v>
      </c>
      <c r="L45" s="296">
        <f t="shared" si="6"/>
        <v>2100</v>
      </c>
      <c r="M45" s="296">
        <f t="shared" si="8"/>
        <v>4200</v>
      </c>
      <c r="N45" s="180"/>
      <c r="P45" s="165"/>
    </row>
    <row r="46" spans="1:16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</row>
    <row r="47" spans="1:16">
      <c r="A47" s="287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4</v>
      </c>
      <c r="I47" s="305">
        <f t="shared" si="7"/>
        <v>4</v>
      </c>
      <c r="J47" s="306">
        <f t="shared" si="4"/>
        <v>74741.600000000006</v>
      </c>
      <c r="K47" s="306">
        <f t="shared" si="5"/>
        <v>0</v>
      </c>
      <c r="L47" s="306">
        <f t="shared" si="6"/>
        <v>37370.800000000003</v>
      </c>
      <c r="M47" s="306">
        <f t="shared" si="8"/>
        <v>37370.800000000003</v>
      </c>
      <c r="N47" s="180"/>
      <c r="P47" s="165"/>
    </row>
    <row r="48" spans="1:16">
      <c r="A48" s="251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0</v>
      </c>
      <c r="I48" s="167">
        <f t="shared" si="7"/>
        <v>1</v>
      </c>
      <c r="J48" s="162">
        <f t="shared" si="4"/>
        <v>9532.36</v>
      </c>
      <c r="K48" s="162">
        <f t="shared" si="5"/>
        <v>0</v>
      </c>
      <c r="L48" s="162">
        <f t="shared" si="6"/>
        <v>0</v>
      </c>
      <c r="M48" s="162">
        <f t="shared" si="8"/>
        <v>9532.36</v>
      </c>
      <c r="N48" s="180"/>
      <c r="P48" s="165"/>
    </row>
    <row r="49" spans="1:16">
      <c r="A49" s="251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2</v>
      </c>
      <c r="I49" s="167">
        <f t="shared" si="7"/>
        <v>5</v>
      </c>
      <c r="J49" s="162">
        <f t="shared" si="4"/>
        <v>24746.12</v>
      </c>
      <c r="K49" s="162">
        <f t="shared" si="5"/>
        <v>0</v>
      </c>
      <c r="L49" s="162">
        <f t="shared" si="6"/>
        <v>7070.32</v>
      </c>
      <c r="M49" s="162">
        <f t="shared" si="8"/>
        <v>17675.8</v>
      </c>
      <c r="N49" s="180"/>
      <c r="P49" s="165"/>
    </row>
    <row r="50" spans="1:16">
      <c r="A50" s="283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/>
      <c r="I50" s="167">
        <f t="shared" si="7"/>
        <v>2</v>
      </c>
      <c r="J50" s="162">
        <f t="shared" si="4"/>
        <v>14549.7</v>
      </c>
      <c r="K50" s="162">
        <f t="shared" si="5"/>
        <v>0</v>
      </c>
      <c r="L50" s="162">
        <f t="shared" si="6"/>
        <v>0</v>
      </c>
      <c r="M50" s="162">
        <f t="shared" si="8"/>
        <v>14549.7</v>
      </c>
      <c r="N50" s="180"/>
      <c r="P50" s="165"/>
    </row>
    <row r="51" spans="1:16">
      <c r="A51" s="287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/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</row>
    <row r="52" spans="1:16">
      <c r="A52" s="287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/>
      <c r="I52" s="305">
        <f t="shared" si="7"/>
        <v>1</v>
      </c>
      <c r="J52" s="306">
        <f t="shared" si="4"/>
        <v>5250</v>
      </c>
      <c r="K52" s="306">
        <f t="shared" si="5"/>
        <v>0</v>
      </c>
      <c r="L52" s="306">
        <f t="shared" si="6"/>
        <v>0</v>
      </c>
      <c r="M52" s="306">
        <f t="shared" si="8"/>
        <v>5250</v>
      </c>
      <c r="N52" s="180"/>
      <c r="P52" s="165"/>
    </row>
    <row r="53" spans="1:16">
      <c r="A53" s="326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/>
      <c r="I53" s="333">
        <f t="shared" si="7"/>
        <v>3</v>
      </c>
      <c r="J53" s="334">
        <f t="shared" si="4"/>
        <v>3709.5</v>
      </c>
      <c r="K53" s="334">
        <f t="shared" si="5"/>
        <v>0</v>
      </c>
      <c r="L53" s="334">
        <f t="shared" si="6"/>
        <v>0</v>
      </c>
      <c r="M53" s="334">
        <f t="shared" si="8"/>
        <v>3709.5</v>
      </c>
      <c r="N53" s="180"/>
      <c r="P53" s="165"/>
    </row>
    <row r="54" spans="1:16">
      <c r="A54" s="287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4</v>
      </c>
      <c r="I54" s="305">
        <f t="shared" si="7"/>
        <v>5</v>
      </c>
      <c r="J54" s="306">
        <f t="shared" si="4"/>
        <v>9450</v>
      </c>
      <c r="K54" s="306">
        <f t="shared" si="5"/>
        <v>0</v>
      </c>
      <c r="L54" s="306">
        <f t="shared" si="6"/>
        <v>4200</v>
      </c>
      <c r="M54" s="306">
        <f t="shared" si="8"/>
        <v>5250</v>
      </c>
      <c r="N54" s="180"/>
      <c r="P54" s="165"/>
    </row>
    <row r="55" spans="1:16">
      <c r="A55" s="251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0</v>
      </c>
      <c r="I55" s="167">
        <f t="shared" si="7"/>
        <v>1</v>
      </c>
      <c r="J55" s="162">
        <f t="shared" si="4"/>
        <v>1050</v>
      </c>
      <c r="K55" s="162">
        <f t="shared" si="5"/>
        <v>0</v>
      </c>
      <c r="L55" s="162">
        <f t="shared" si="6"/>
        <v>0</v>
      </c>
      <c r="M55" s="162">
        <f t="shared" si="8"/>
        <v>1050</v>
      </c>
      <c r="N55" s="180"/>
      <c r="P55" s="165"/>
    </row>
    <row r="56" spans="1:16">
      <c r="A56" s="251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2</v>
      </c>
      <c r="I56" s="167">
        <f t="shared" si="7"/>
        <v>7</v>
      </c>
      <c r="J56" s="162">
        <f t="shared" si="4"/>
        <v>9450</v>
      </c>
      <c r="K56" s="162">
        <f t="shared" si="5"/>
        <v>0</v>
      </c>
      <c r="L56" s="162">
        <f t="shared" si="6"/>
        <v>2100</v>
      </c>
      <c r="M56" s="162">
        <f t="shared" si="8"/>
        <v>7350</v>
      </c>
      <c r="N56" s="180"/>
      <c r="P56" s="165"/>
    </row>
    <row r="57" spans="1:16">
      <c r="A57" s="256"/>
      <c r="B57" s="23" t="e">
        <f t="shared" si="0"/>
        <v>#N/A</v>
      </c>
      <c r="C57" s="137"/>
      <c r="D57" s="24" t="e">
        <f t="shared" si="1"/>
        <v>#N/A</v>
      </c>
      <c r="E57" s="231" t="e">
        <f t="shared" si="2"/>
        <v>#N/A</v>
      </c>
      <c r="F57" s="225" t="e">
        <f t="shared" si="3"/>
        <v>#N/A</v>
      </c>
      <c r="G57" s="227"/>
      <c r="H57" s="227"/>
      <c r="I57" s="167" t="e">
        <f t="shared" si="7"/>
        <v>#N/A</v>
      </c>
      <c r="J57" s="162">
        <f t="shared" si="4"/>
        <v>0</v>
      </c>
      <c r="K57" s="162">
        <f t="shared" si="5"/>
        <v>0</v>
      </c>
      <c r="L57" s="162">
        <f t="shared" si="6"/>
        <v>0</v>
      </c>
      <c r="M57" s="162">
        <f t="shared" si="8"/>
        <v>0</v>
      </c>
      <c r="N57" s="180"/>
      <c r="P57" s="165"/>
    </row>
    <row r="58" spans="1:16">
      <c r="A58" s="316" t="s">
        <v>258</v>
      </c>
      <c r="B58" s="325" t="str">
        <f t="shared" si="0"/>
        <v>Curb &amp; Gutter, 30" width, 12" thickness</v>
      </c>
      <c r="C58" s="337"/>
      <c r="D58" s="338" t="str">
        <f t="shared" si="1"/>
        <v>lf</v>
      </c>
      <c r="E58" s="339">
        <f t="shared" si="2"/>
        <v>35</v>
      </c>
      <c r="F58" s="340">
        <f t="shared" si="3"/>
        <v>5300</v>
      </c>
      <c r="G58" s="341"/>
      <c r="H58" s="341"/>
      <c r="I58" s="342">
        <f t="shared" si="7"/>
        <v>5300</v>
      </c>
      <c r="J58" s="343">
        <f t="shared" si="4"/>
        <v>185500</v>
      </c>
      <c r="K58" s="343">
        <f t="shared" si="5"/>
        <v>0</v>
      </c>
      <c r="L58" s="343">
        <f t="shared" si="6"/>
        <v>0</v>
      </c>
      <c r="M58" s="343">
        <f t="shared" si="8"/>
        <v>185500</v>
      </c>
      <c r="N58" s="180"/>
      <c r="P58" s="165"/>
    </row>
    <row r="59" spans="1:16">
      <c r="A59" s="251" t="s">
        <v>259</v>
      </c>
      <c r="B59" s="23" t="str">
        <f t="shared" si="0"/>
        <v>Pavement, HMA, Base, 5" depth</v>
      </c>
      <c r="C59" s="137"/>
      <c r="D59" s="24" t="str">
        <f t="shared" si="1"/>
        <v>ton</v>
      </c>
      <c r="E59" s="231">
        <f t="shared" si="2"/>
        <v>103</v>
      </c>
      <c r="F59" s="225">
        <f t="shared" si="3"/>
        <v>2844.8</v>
      </c>
      <c r="G59" s="227"/>
      <c r="H59" s="227"/>
      <c r="I59" s="167">
        <f t="shared" si="7"/>
        <v>2844.8</v>
      </c>
      <c r="J59" s="162">
        <f t="shared" si="4"/>
        <v>293014.40000000002</v>
      </c>
      <c r="K59" s="162">
        <f t="shared" si="5"/>
        <v>0</v>
      </c>
      <c r="L59" s="162">
        <f t="shared" si="6"/>
        <v>0</v>
      </c>
      <c r="M59" s="162">
        <f t="shared" si="8"/>
        <v>293014.40000000002</v>
      </c>
      <c r="N59" s="180"/>
      <c r="P59" s="165"/>
    </row>
    <row r="60" spans="1:16">
      <c r="A60" s="251" t="s">
        <v>260</v>
      </c>
      <c r="B60" s="23" t="str">
        <f t="shared" si="0"/>
        <v>Pavement, HMA, Surface, 2" depth</v>
      </c>
      <c r="C60" s="137"/>
      <c r="D60" s="24" t="str">
        <f t="shared" si="1"/>
        <v>ton</v>
      </c>
      <c r="E60" s="231">
        <f t="shared" si="2"/>
        <v>108</v>
      </c>
      <c r="F60" s="225">
        <f t="shared" si="3"/>
        <v>1144.4000000000001</v>
      </c>
      <c r="G60" s="227"/>
      <c r="H60" s="227"/>
      <c r="I60" s="167">
        <f t="shared" si="7"/>
        <v>1144.4000000000001</v>
      </c>
      <c r="J60" s="162">
        <f t="shared" si="4"/>
        <v>123595.20000000001</v>
      </c>
      <c r="K60" s="162">
        <f t="shared" si="5"/>
        <v>0</v>
      </c>
      <c r="L60" s="162">
        <f t="shared" si="6"/>
        <v>0</v>
      </c>
      <c r="M60" s="162">
        <f t="shared" si="8"/>
        <v>123595.20000000001</v>
      </c>
      <c r="N60" s="180"/>
      <c r="P60" s="165"/>
    </row>
    <row r="61" spans="1:16">
      <c r="A61" s="251" t="s">
        <v>261</v>
      </c>
      <c r="B61" s="23" t="str">
        <f t="shared" si="0"/>
        <v>Removal of Sidewalk/Driveway</v>
      </c>
      <c r="C61" s="137"/>
      <c r="D61" s="24" t="str">
        <f t="shared" si="1"/>
        <v>sy</v>
      </c>
      <c r="E61" s="231">
        <f t="shared" si="2"/>
        <v>10.75</v>
      </c>
      <c r="F61" s="225">
        <f t="shared" si="3"/>
        <v>1191.7</v>
      </c>
      <c r="G61" s="227"/>
      <c r="H61" s="227">
        <v>166.2</v>
      </c>
      <c r="I61" s="167">
        <f t="shared" si="7"/>
        <v>1025.5</v>
      </c>
      <c r="J61" s="162">
        <f t="shared" si="4"/>
        <v>12810.775</v>
      </c>
      <c r="K61" s="162">
        <f t="shared" si="5"/>
        <v>0</v>
      </c>
      <c r="L61" s="162">
        <f t="shared" si="6"/>
        <v>1786.6499999999999</v>
      </c>
      <c r="M61" s="162">
        <f t="shared" si="8"/>
        <v>11024.125</v>
      </c>
      <c r="N61" s="180"/>
      <c r="P61" s="165"/>
    </row>
    <row r="62" spans="1:16">
      <c r="A62" s="316" t="s">
        <v>262</v>
      </c>
      <c r="B62" s="325" t="str">
        <f t="shared" si="0"/>
        <v>Sidewalk/Drive, PCC, 6"/4" depth</v>
      </c>
      <c r="C62" s="337"/>
      <c r="D62" s="338" t="str">
        <f t="shared" si="1"/>
        <v>sy</v>
      </c>
      <c r="E62" s="339">
        <f t="shared" si="2"/>
        <v>94</v>
      </c>
      <c r="F62" s="340">
        <f t="shared" si="3"/>
        <v>1293</v>
      </c>
      <c r="G62" s="341"/>
      <c r="H62" s="341"/>
      <c r="I62" s="342">
        <f t="shared" si="7"/>
        <v>1293</v>
      </c>
      <c r="J62" s="343">
        <f t="shared" si="4"/>
        <v>121542</v>
      </c>
      <c r="K62" s="343">
        <f t="shared" si="5"/>
        <v>0</v>
      </c>
      <c r="L62" s="343">
        <f t="shared" si="6"/>
        <v>0</v>
      </c>
      <c r="M62" s="343">
        <f t="shared" si="8"/>
        <v>121542</v>
      </c>
      <c r="N62" s="180"/>
      <c r="P62" s="165"/>
    </row>
    <row r="63" spans="1:16">
      <c r="A63" s="251" t="s">
        <v>263</v>
      </c>
      <c r="B63" s="23" t="str">
        <f t="shared" si="0"/>
        <v>Detectable Warning</v>
      </c>
      <c r="C63" s="137"/>
      <c r="D63" s="24" t="str">
        <f t="shared" si="1"/>
        <v>sf</v>
      </c>
      <c r="E63" s="231">
        <f t="shared" si="2"/>
        <v>45</v>
      </c>
      <c r="F63" s="225">
        <f t="shared" si="3"/>
        <v>263</v>
      </c>
      <c r="G63" s="227"/>
      <c r="H63" s="227"/>
      <c r="I63" s="167">
        <f t="shared" si="7"/>
        <v>263</v>
      </c>
      <c r="J63" s="162">
        <f t="shared" si="4"/>
        <v>11835</v>
      </c>
      <c r="K63" s="162">
        <f t="shared" si="5"/>
        <v>0</v>
      </c>
      <c r="L63" s="162">
        <f t="shared" si="6"/>
        <v>0</v>
      </c>
      <c r="M63" s="162">
        <f t="shared" si="8"/>
        <v>11835</v>
      </c>
      <c r="N63" s="180"/>
      <c r="P63" s="165"/>
    </row>
    <row r="64" spans="1:16">
      <c r="A64" s="251" t="s">
        <v>264</v>
      </c>
      <c r="B64" s="23" t="str">
        <f t="shared" si="0"/>
        <v>Full Depth Patch, PCC</v>
      </c>
      <c r="C64" s="137"/>
      <c r="D64" s="24" t="str">
        <f t="shared" si="1"/>
        <v>sy</v>
      </c>
      <c r="E64" s="231">
        <f t="shared" si="2"/>
        <v>112</v>
      </c>
      <c r="F64" s="225">
        <f t="shared" si="3"/>
        <v>44.2</v>
      </c>
      <c r="G64" s="227"/>
      <c r="H64" s="227"/>
      <c r="I64" s="167">
        <f t="shared" si="7"/>
        <v>44.2</v>
      </c>
      <c r="J64" s="162">
        <f t="shared" si="4"/>
        <v>4950.4000000000005</v>
      </c>
      <c r="K64" s="162">
        <f t="shared" si="5"/>
        <v>0</v>
      </c>
      <c r="L64" s="162">
        <f t="shared" si="6"/>
        <v>0</v>
      </c>
      <c r="M64" s="162">
        <f t="shared" si="8"/>
        <v>4950.4000000000005</v>
      </c>
      <c r="N64" s="180"/>
      <c r="P64" s="165"/>
    </row>
    <row r="65" spans="1:16">
      <c r="A65" s="251" t="s">
        <v>265</v>
      </c>
      <c r="B65" s="23" t="str">
        <f t="shared" si="0"/>
        <v>Milling</v>
      </c>
      <c r="C65" s="137"/>
      <c r="D65" s="24" t="str">
        <f t="shared" si="1"/>
        <v>sy</v>
      </c>
      <c r="E65" s="231">
        <f t="shared" si="2"/>
        <v>78</v>
      </c>
      <c r="F65" s="225">
        <f t="shared" si="3"/>
        <v>52.7</v>
      </c>
      <c r="G65" s="227"/>
      <c r="H65" s="227"/>
      <c r="I65" s="167">
        <f t="shared" si="7"/>
        <v>52.7</v>
      </c>
      <c r="J65" s="162">
        <f t="shared" si="4"/>
        <v>4110.6000000000004</v>
      </c>
      <c r="K65" s="162">
        <f t="shared" si="5"/>
        <v>0</v>
      </c>
      <c r="L65" s="162">
        <f t="shared" si="6"/>
        <v>0</v>
      </c>
      <c r="M65" s="162">
        <f t="shared" si="8"/>
        <v>4110.6000000000004</v>
      </c>
      <c r="N65" s="180"/>
      <c r="P65" s="165"/>
    </row>
    <row r="66" spans="1:16">
      <c r="A66" s="251" t="s">
        <v>266</v>
      </c>
      <c r="B66" s="23" t="str">
        <f t="shared" si="0"/>
        <v>Pavement Removal</v>
      </c>
      <c r="C66" s="137"/>
      <c r="D66" s="24" t="str">
        <f t="shared" si="1"/>
        <v>sy</v>
      </c>
      <c r="E66" s="231">
        <f t="shared" si="2"/>
        <v>5.5</v>
      </c>
      <c r="F66" s="225">
        <f t="shared" si="3"/>
        <v>9400.1</v>
      </c>
      <c r="G66" s="227"/>
      <c r="H66" s="227">
        <v>1410</v>
      </c>
      <c r="I66" s="167">
        <f t="shared" si="7"/>
        <v>7990.1</v>
      </c>
      <c r="J66" s="162">
        <f t="shared" si="4"/>
        <v>51700.55</v>
      </c>
      <c r="K66" s="162">
        <f t="shared" si="5"/>
        <v>0</v>
      </c>
      <c r="L66" s="162">
        <f t="shared" si="6"/>
        <v>7755</v>
      </c>
      <c r="M66" s="162">
        <f t="shared" si="8"/>
        <v>43945.55</v>
      </c>
      <c r="N66" s="180"/>
      <c r="P66" s="165"/>
    </row>
    <row r="67" spans="1:16">
      <c r="A67" s="251" t="s">
        <v>288</v>
      </c>
      <c r="B67" s="23" t="str">
        <f t="shared" si="0"/>
        <v>Curb &amp; Gutter Removal</v>
      </c>
      <c r="C67" s="137"/>
      <c r="D67" s="24" t="str">
        <f t="shared" si="1"/>
        <v>lf</v>
      </c>
      <c r="E67" s="231">
        <f t="shared" si="2"/>
        <v>6.25</v>
      </c>
      <c r="F67" s="225">
        <f t="shared" si="3"/>
        <v>5281</v>
      </c>
      <c r="G67" s="227"/>
      <c r="H67" s="227">
        <v>409</v>
      </c>
      <c r="I67" s="167">
        <f t="shared" si="7"/>
        <v>4872</v>
      </c>
      <c r="J67" s="162">
        <f t="shared" si="4"/>
        <v>33006.25</v>
      </c>
      <c r="K67" s="162">
        <f t="shared" si="5"/>
        <v>0</v>
      </c>
      <c r="L67" s="162">
        <f t="shared" si="6"/>
        <v>2556.25</v>
      </c>
      <c r="M67" s="162">
        <f t="shared" si="8"/>
        <v>30450</v>
      </c>
      <c r="N67" s="180"/>
      <c r="P67" s="165"/>
    </row>
    <row r="68" spans="1:16">
      <c r="A68" s="251" t="s">
        <v>267</v>
      </c>
      <c r="B68" s="23" t="str">
        <f t="shared" si="0"/>
        <v>Engineering Fabric/Geogrid Fabric</v>
      </c>
      <c r="C68" s="137"/>
      <c r="D68" s="24" t="str">
        <f t="shared" si="1"/>
        <v>sy</v>
      </c>
      <c r="E68" s="231">
        <f t="shared" si="2"/>
        <v>3.5</v>
      </c>
      <c r="F68" s="225">
        <f t="shared" si="3"/>
        <v>2996</v>
      </c>
      <c r="G68" s="227"/>
      <c r="H68" s="227"/>
      <c r="I68" s="167">
        <f t="shared" si="7"/>
        <v>2996</v>
      </c>
      <c r="J68" s="162">
        <f t="shared" si="4"/>
        <v>10486</v>
      </c>
      <c r="K68" s="162">
        <f t="shared" si="5"/>
        <v>0</v>
      </c>
      <c r="L68" s="162">
        <f t="shared" si="6"/>
        <v>0</v>
      </c>
      <c r="M68" s="162">
        <f t="shared" si="8"/>
        <v>10486</v>
      </c>
      <c r="N68" s="180"/>
      <c r="P68" s="165"/>
    </row>
    <row r="69" spans="1:16">
      <c r="A69" s="256"/>
      <c r="B69" s="23" t="e">
        <f t="shared" si="0"/>
        <v>#N/A</v>
      </c>
      <c r="C69" s="137"/>
      <c r="D69" s="24" t="e">
        <f t="shared" si="1"/>
        <v>#N/A</v>
      </c>
      <c r="E69" s="231" t="e">
        <f t="shared" si="2"/>
        <v>#N/A</v>
      </c>
      <c r="F69" s="225" t="e">
        <f t="shared" si="3"/>
        <v>#N/A</v>
      </c>
      <c r="G69" s="227"/>
      <c r="H69" s="227"/>
      <c r="I69" s="167" t="e">
        <f t="shared" si="7"/>
        <v>#N/A</v>
      </c>
      <c r="J69" s="162">
        <f t="shared" si="4"/>
        <v>0</v>
      </c>
      <c r="K69" s="162">
        <f t="shared" si="5"/>
        <v>0</v>
      </c>
      <c r="L69" s="162">
        <f t="shared" si="6"/>
        <v>0</v>
      </c>
      <c r="M69" s="162">
        <f t="shared" si="8"/>
        <v>0</v>
      </c>
      <c r="N69" s="180"/>
      <c r="P69" s="165"/>
    </row>
    <row r="70" spans="1:16">
      <c r="A70" s="251" t="s">
        <v>268</v>
      </c>
      <c r="B70" s="23" t="str">
        <f t="shared" si="0"/>
        <v>Temporary Traffic Control</v>
      </c>
      <c r="C70" s="137"/>
      <c r="D70" s="24" t="str">
        <f t="shared" si="1"/>
        <v>ls</v>
      </c>
      <c r="E70" s="231">
        <f t="shared" si="2"/>
        <v>17350</v>
      </c>
      <c r="F70" s="225">
        <f t="shared" si="3"/>
        <v>1</v>
      </c>
      <c r="G70" s="227"/>
      <c r="H70" s="227">
        <v>0.3</v>
      </c>
      <c r="I70" s="167">
        <f t="shared" si="7"/>
        <v>0.7</v>
      </c>
      <c r="J70" s="162">
        <f t="shared" si="4"/>
        <v>17350</v>
      </c>
      <c r="K70" s="162">
        <f t="shared" si="5"/>
        <v>0</v>
      </c>
      <c r="L70" s="162">
        <f t="shared" si="6"/>
        <v>5205</v>
      </c>
      <c r="M70" s="162">
        <f t="shared" si="8"/>
        <v>12145</v>
      </c>
      <c r="N70" s="180"/>
      <c r="P70" s="165"/>
    </row>
    <row r="71" spans="1:16">
      <c r="A71" s="256"/>
      <c r="B71" s="23" t="e">
        <f t="shared" si="0"/>
        <v>#N/A</v>
      </c>
      <c r="C71" s="137"/>
      <c r="D71" s="24" t="e">
        <f t="shared" si="1"/>
        <v>#N/A</v>
      </c>
      <c r="E71" s="232" t="e">
        <f t="shared" si="2"/>
        <v>#N/A</v>
      </c>
      <c r="F71" s="225" t="e">
        <f t="shared" si="3"/>
        <v>#N/A</v>
      </c>
      <c r="G71" s="227"/>
      <c r="H71" s="227"/>
      <c r="I71" s="167" t="e">
        <f t="shared" si="7"/>
        <v>#N/A</v>
      </c>
      <c r="J71" s="162">
        <f t="shared" si="4"/>
        <v>0</v>
      </c>
      <c r="K71" s="162">
        <f t="shared" si="5"/>
        <v>0</v>
      </c>
      <c r="L71" s="162">
        <f t="shared" si="6"/>
        <v>0</v>
      </c>
      <c r="M71" s="162">
        <f t="shared" si="8"/>
        <v>0</v>
      </c>
      <c r="N71" s="180"/>
      <c r="P71" s="165"/>
    </row>
    <row r="72" spans="1:16">
      <c r="A72" s="251" t="s">
        <v>269</v>
      </c>
      <c r="B72" s="23" t="str">
        <f t="shared" si="0"/>
        <v>Wattles</v>
      </c>
      <c r="C72" s="137"/>
      <c r="D72" s="24" t="str">
        <f t="shared" si="1"/>
        <v>lf</v>
      </c>
      <c r="E72" s="232">
        <f t="shared" si="2"/>
        <v>3.7</v>
      </c>
      <c r="F72" s="225">
        <f t="shared" si="3"/>
        <v>500</v>
      </c>
      <c r="G72" s="227"/>
      <c r="H72" s="227">
        <v>74</v>
      </c>
      <c r="I72" s="167">
        <f t="shared" si="7"/>
        <v>426</v>
      </c>
      <c r="J72" s="162">
        <f t="shared" si="4"/>
        <v>1850</v>
      </c>
      <c r="K72" s="162">
        <f t="shared" si="5"/>
        <v>0</v>
      </c>
      <c r="L72" s="162">
        <f t="shared" si="6"/>
        <v>273.8</v>
      </c>
      <c r="M72" s="162">
        <f t="shared" si="8"/>
        <v>1576.2</v>
      </c>
      <c r="N72" s="180"/>
      <c r="P72" s="165"/>
    </row>
    <row r="73" spans="1:16">
      <c r="A73" s="251" t="s">
        <v>270</v>
      </c>
      <c r="B73" s="23" t="str">
        <f t="shared" ref="B73:B107" si="9">VLOOKUP($A73,BIDTAB,2,FALSE)</f>
        <v>Inlet Protection Device</v>
      </c>
      <c r="C73" s="137"/>
      <c r="D73" s="24" t="str">
        <f t="shared" ref="D73:D107" si="10">VLOOKUP($A73,BIDTAB,3,FALSE)</f>
        <v>ea</v>
      </c>
      <c r="E73" s="233">
        <f t="shared" ref="E73:E107" si="11">VLOOKUP($A73,BIDTAB,7,FALSE)</f>
        <v>210</v>
      </c>
      <c r="F73" s="225">
        <f t="shared" ref="F73:F107" si="12">VLOOKUP($A73,BIDTAB,4,FALSE)</f>
        <v>17</v>
      </c>
      <c r="G73" s="227"/>
      <c r="H73" s="227">
        <v>4</v>
      </c>
      <c r="I73" s="167">
        <f t="shared" si="7"/>
        <v>13</v>
      </c>
      <c r="J73" s="162">
        <f t="shared" ref="J73:J76" si="13">IF(ISERROR(F73*E73),0,F73*E73)</f>
        <v>3570</v>
      </c>
      <c r="K73" s="162">
        <f t="shared" ref="K73:K76" si="14">IF(ISERROR(G73*E73),0,G73*E73)</f>
        <v>0</v>
      </c>
      <c r="L73" s="162">
        <f t="shared" ref="L73:L76" si="15">IF(ISERROR(H73*E73),0,H73*E73)</f>
        <v>840</v>
      </c>
      <c r="M73" s="162">
        <f t="shared" si="8"/>
        <v>2730</v>
      </c>
      <c r="N73" s="180"/>
      <c r="P73" s="165"/>
    </row>
    <row r="74" spans="1:16">
      <c r="A74" s="251" t="s">
        <v>271</v>
      </c>
      <c r="B74" s="23" t="str">
        <f t="shared" si="9"/>
        <v>Inlet Protection Device, Maintenance</v>
      </c>
      <c r="C74" s="137"/>
      <c r="D74" s="24" t="str">
        <f t="shared" si="10"/>
        <v>ea</v>
      </c>
      <c r="E74" s="233">
        <f t="shared" si="11"/>
        <v>52.5</v>
      </c>
      <c r="F74" s="225">
        <f t="shared" si="12"/>
        <v>17</v>
      </c>
      <c r="G74" s="227"/>
      <c r="H74" s="227">
        <v>4</v>
      </c>
      <c r="I74" s="167">
        <f t="shared" ref="I74:I107" si="16">IF(ISBLANK(G74),F74,F74+G74)-H74</f>
        <v>13</v>
      </c>
      <c r="J74" s="162">
        <f t="shared" si="13"/>
        <v>892.5</v>
      </c>
      <c r="K74" s="162">
        <f t="shared" si="14"/>
        <v>0</v>
      </c>
      <c r="L74" s="162">
        <f t="shared" si="15"/>
        <v>210</v>
      </c>
      <c r="M74" s="162">
        <f t="shared" ref="M74:M76" si="17">SUM(J74:K74)-L74</f>
        <v>682.5</v>
      </c>
      <c r="N74" s="180"/>
      <c r="P74" s="165"/>
    </row>
    <row r="75" spans="1:16">
      <c r="A75" s="251" t="s">
        <v>272</v>
      </c>
      <c r="B75" s="23" t="str">
        <f t="shared" si="9"/>
        <v>Modular Block Retaining Wall</v>
      </c>
      <c r="C75" s="137"/>
      <c r="D75" s="24" t="str">
        <f t="shared" si="10"/>
        <v>sf</v>
      </c>
      <c r="E75" s="233">
        <f t="shared" si="11"/>
        <v>70.349999999999994</v>
      </c>
      <c r="F75" s="225">
        <f t="shared" si="12"/>
        <v>60</v>
      </c>
      <c r="G75" s="227"/>
      <c r="H75" s="227"/>
      <c r="I75" s="167">
        <f t="shared" si="16"/>
        <v>60</v>
      </c>
      <c r="J75" s="162">
        <f t="shared" si="13"/>
        <v>4221</v>
      </c>
      <c r="K75" s="162">
        <f t="shared" si="14"/>
        <v>0</v>
      </c>
      <c r="L75" s="162">
        <f t="shared" si="15"/>
        <v>0</v>
      </c>
      <c r="M75" s="162">
        <f t="shared" si="17"/>
        <v>4221</v>
      </c>
      <c r="N75" s="180"/>
      <c r="P75" s="165"/>
    </row>
    <row r="76" spans="1:16">
      <c r="A76" s="256"/>
      <c r="B76" s="23" t="e">
        <f t="shared" si="9"/>
        <v>#N/A</v>
      </c>
      <c r="C76" s="137"/>
      <c r="D76" s="24" t="e">
        <f t="shared" si="10"/>
        <v>#N/A</v>
      </c>
      <c r="E76" s="232" t="e">
        <f t="shared" si="11"/>
        <v>#N/A</v>
      </c>
      <c r="F76" s="225" t="e">
        <f t="shared" si="12"/>
        <v>#N/A</v>
      </c>
      <c r="G76" s="227"/>
      <c r="H76" s="227"/>
      <c r="I76" s="167" t="e">
        <f t="shared" si="16"/>
        <v>#N/A</v>
      </c>
      <c r="J76" s="162">
        <f t="shared" si="13"/>
        <v>0</v>
      </c>
      <c r="K76" s="162">
        <f t="shared" si="14"/>
        <v>0</v>
      </c>
      <c r="L76" s="162">
        <f t="shared" si="15"/>
        <v>0</v>
      </c>
      <c r="M76" s="162">
        <f t="shared" si="17"/>
        <v>0</v>
      </c>
      <c r="N76" s="180"/>
      <c r="P76" s="165"/>
    </row>
    <row r="77" spans="1:16">
      <c r="A77" s="251" t="s">
        <v>273</v>
      </c>
      <c r="B77" s="23" t="str">
        <f t="shared" si="9"/>
        <v>Construction Survey/Staking</v>
      </c>
      <c r="C77" s="137"/>
      <c r="D77" s="24" t="str">
        <f t="shared" si="10"/>
        <v>ls</v>
      </c>
      <c r="E77" s="232">
        <f t="shared" si="11"/>
        <v>16065</v>
      </c>
      <c r="F77" s="225">
        <f t="shared" si="12"/>
        <v>1</v>
      </c>
      <c r="G77" s="227"/>
      <c r="H77" s="227">
        <v>0.4</v>
      </c>
      <c r="I77" s="167">
        <f t="shared" si="16"/>
        <v>0.6</v>
      </c>
      <c r="J77" s="162">
        <f>IF(ISERROR(F77*E77),0,F77*E77)</f>
        <v>16065</v>
      </c>
      <c r="K77" s="162">
        <f>IF(ISERROR(G77*E77),0,G77*E77)</f>
        <v>0</v>
      </c>
      <c r="L77" s="162">
        <f>IF(ISERROR(H77*E77),0,H77*E77)</f>
        <v>6426</v>
      </c>
      <c r="M77" s="162">
        <f t="shared" ref="M77:M107" si="18">SUM(J77:K77)-L77</f>
        <v>9639</v>
      </c>
      <c r="N77" s="180"/>
      <c r="P77" s="165"/>
    </row>
    <row r="78" spans="1:16">
      <c r="A78" s="251" t="s">
        <v>274</v>
      </c>
      <c r="B78" s="23" t="str">
        <f t="shared" si="9"/>
        <v>Pedestrian Facility Construction Survey &amp; Staking</v>
      </c>
      <c r="C78" s="137"/>
      <c r="D78" s="24" t="str">
        <f t="shared" si="10"/>
        <v>ea</v>
      </c>
      <c r="E78" s="232">
        <f t="shared" si="11"/>
        <v>275</v>
      </c>
      <c r="F78" s="225">
        <f t="shared" si="12"/>
        <v>13</v>
      </c>
      <c r="G78" s="227"/>
      <c r="H78" s="227"/>
      <c r="I78" s="167">
        <f t="shared" si="16"/>
        <v>13</v>
      </c>
      <c r="J78" s="162">
        <f t="shared" ref="J78:J107" si="19">IF(ISERROR(F78*E78),0,F78*E78)</f>
        <v>3575</v>
      </c>
      <c r="K78" s="162">
        <f t="shared" ref="K78:K107" si="20">IF(ISERROR(G78*E78),0,G78*E78)</f>
        <v>0</v>
      </c>
      <c r="L78" s="162">
        <f t="shared" ref="L78:L107" si="21">IF(ISERROR(H78*E78),0,H78*E78)</f>
        <v>0</v>
      </c>
      <c r="M78" s="162">
        <f t="shared" si="18"/>
        <v>3575</v>
      </c>
      <c r="N78" s="180"/>
      <c r="P78" s="165"/>
    </row>
    <row r="79" spans="1:16">
      <c r="A79" s="251" t="s">
        <v>275</v>
      </c>
      <c r="B79" s="23" t="str">
        <f t="shared" si="9"/>
        <v>Monument Preservation or Replacement</v>
      </c>
      <c r="C79" s="137"/>
      <c r="D79" s="24" t="str">
        <f t="shared" si="10"/>
        <v>ls</v>
      </c>
      <c r="E79" s="231">
        <f t="shared" si="11"/>
        <v>2310</v>
      </c>
      <c r="F79" s="225">
        <f t="shared" si="12"/>
        <v>1</v>
      </c>
      <c r="G79" s="227"/>
      <c r="H79" s="227"/>
      <c r="I79" s="167">
        <f t="shared" si="16"/>
        <v>1</v>
      </c>
      <c r="J79" s="162">
        <f t="shared" si="19"/>
        <v>2310</v>
      </c>
      <c r="K79" s="162">
        <f t="shared" si="20"/>
        <v>0</v>
      </c>
      <c r="L79" s="162">
        <f t="shared" si="21"/>
        <v>0</v>
      </c>
      <c r="M79" s="162">
        <f t="shared" si="18"/>
        <v>2310</v>
      </c>
      <c r="N79" s="180"/>
      <c r="P79" s="165"/>
    </row>
    <row r="80" spans="1:16">
      <c r="A80" s="251" t="s">
        <v>276</v>
      </c>
      <c r="B80" s="23" t="str">
        <f t="shared" si="9"/>
        <v>Mobilization</v>
      </c>
      <c r="C80" s="137"/>
      <c r="D80" s="24" t="str">
        <f t="shared" si="10"/>
        <v>ls</v>
      </c>
      <c r="E80" s="231">
        <f t="shared" si="11"/>
        <v>35000</v>
      </c>
      <c r="F80" s="225">
        <f t="shared" si="12"/>
        <v>1</v>
      </c>
      <c r="G80" s="227"/>
      <c r="H80" s="227">
        <v>0.3</v>
      </c>
      <c r="I80" s="167">
        <f t="shared" si="16"/>
        <v>0.7</v>
      </c>
      <c r="J80" s="162">
        <f t="shared" si="19"/>
        <v>35000</v>
      </c>
      <c r="K80" s="162">
        <f t="shared" si="20"/>
        <v>0</v>
      </c>
      <c r="L80" s="162">
        <f t="shared" si="21"/>
        <v>10500</v>
      </c>
      <c r="M80" s="162">
        <f t="shared" si="18"/>
        <v>24500</v>
      </c>
      <c r="N80" s="180"/>
      <c r="P80" s="165"/>
    </row>
    <row r="81" spans="1:16">
      <c r="A81" s="251" t="s">
        <v>277</v>
      </c>
      <c r="B81" s="23" t="str">
        <f t="shared" si="9"/>
        <v>Concrete Washout</v>
      </c>
      <c r="C81" s="137"/>
      <c r="D81" s="24" t="str">
        <f t="shared" si="10"/>
        <v>ls</v>
      </c>
      <c r="E81" s="231">
        <f t="shared" si="11"/>
        <v>3900</v>
      </c>
      <c r="F81" s="225">
        <f t="shared" si="12"/>
        <v>1</v>
      </c>
      <c r="G81" s="227"/>
      <c r="H81" s="227"/>
      <c r="I81" s="167">
        <f t="shared" si="16"/>
        <v>1</v>
      </c>
      <c r="J81" s="162">
        <f t="shared" si="19"/>
        <v>3900</v>
      </c>
      <c r="K81" s="162">
        <f t="shared" si="20"/>
        <v>0</v>
      </c>
      <c r="L81" s="162">
        <f t="shared" si="21"/>
        <v>0</v>
      </c>
      <c r="M81" s="162">
        <f t="shared" si="18"/>
        <v>3900</v>
      </c>
      <c r="N81" s="180"/>
      <c r="P81" s="165"/>
    </row>
    <row r="82" spans="1:16">
      <c r="A82" s="256"/>
      <c r="B82" s="23" t="e">
        <f t="shared" si="9"/>
        <v>#N/A</v>
      </c>
      <c r="C82" s="137"/>
      <c r="D82" s="24" t="e">
        <f t="shared" si="10"/>
        <v>#N/A</v>
      </c>
      <c r="E82" s="231" t="e">
        <f t="shared" si="11"/>
        <v>#N/A</v>
      </c>
      <c r="F82" s="225" t="e">
        <f t="shared" si="12"/>
        <v>#N/A</v>
      </c>
      <c r="G82" s="227"/>
      <c r="H82" s="227"/>
      <c r="I82" s="167" t="e">
        <f t="shared" si="16"/>
        <v>#N/A</v>
      </c>
      <c r="J82" s="162">
        <f t="shared" si="19"/>
        <v>0</v>
      </c>
      <c r="K82" s="162">
        <f t="shared" si="20"/>
        <v>0</v>
      </c>
      <c r="L82" s="162">
        <f t="shared" si="21"/>
        <v>0</v>
      </c>
      <c r="M82" s="162">
        <f t="shared" si="18"/>
        <v>0</v>
      </c>
      <c r="N82" s="180"/>
      <c r="P82" s="165"/>
    </row>
    <row r="83" spans="1:16">
      <c r="A83" s="256"/>
      <c r="B83" s="23" t="e">
        <f t="shared" si="9"/>
        <v>#N/A</v>
      </c>
      <c r="C83" s="137"/>
      <c r="D83" s="24" t="e">
        <f t="shared" si="10"/>
        <v>#N/A</v>
      </c>
      <c r="E83" s="231" t="e">
        <f t="shared" si="11"/>
        <v>#N/A</v>
      </c>
      <c r="F83" s="225" t="e">
        <f t="shared" si="12"/>
        <v>#N/A</v>
      </c>
      <c r="G83" s="227"/>
      <c r="H83" s="227"/>
      <c r="I83" s="167" t="e">
        <f t="shared" si="16"/>
        <v>#N/A</v>
      </c>
      <c r="J83" s="162">
        <f t="shared" si="19"/>
        <v>0</v>
      </c>
      <c r="K83" s="162">
        <f t="shared" si="20"/>
        <v>0</v>
      </c>
      <c r="L83" s="162">
        <f t="shared" si="21"/>
        <v>0</v>
      </c>
      <c r="M83" s="162">
        <f t="shared" si="18"/>
        <v>0</v>
      </c>
      <c r="N83" s="180"/>
      <c r="P83" s="165"/>
    </row>
    <row r="84" spans="1:16">
      <c r="A84" s="256"/>
      <c r="B84" s="23" t="e">
        <f t="shared" si="9"/>
        <v>#N/A</v>
      </c>
      <c r="C84" s="137"/>
      <c r="D84" s="24" t="e">
        <f t="shared" si="10"/>
        <v>#N/A</v>
      </c>
      <c r="E84" s="231" t="e">
        <f t="shared" si="11"/>
        <v>#N/A</v>
      </c>
      <c r="F84" s="225" t="e">
        <f t="shared" si="12"/>
        <v>#N/A</v>
      </c>
      <c r="G84" s="227"/>
      <c r="H84" s="227"/>
      <c r="I84" s="167" t="e">
        <f t="shared" si="16"/>
        <v>#N/A</v>
      </c>
      <c r="J84" s="162">
        <f t="shared" si="19"/>
        <v>0</v>
      </c>
      <c r="K84" s="162">
        <f t="shared" si="20"/>
        <v>0</v>
      </c>
      <c r="L84" s="162">
        <f t="shared" si="21"/>
        <v>0</v>
      </c>
      <c r="M84" s="162">
        <f t="shared" si="18"/>
        <v>0</v>
      </c>
      <c r="N84" s="180"/>
      <c r="P84" s="165"/>
    </row>
    <row r="85" spans="1:16">
      <c r="A85" s="256"/>
      <c r="B85" s="23" t="e">
        <f t="shared" si="9"/>
        <v>#N/A</v>
      </c>
      <c r="C85" s="137"/>
      <c r="D85" s="24" t="e">
        <f t="shared" si="10"/>
        <v>#N/A</v>
      </c>
      <c r="E85" s="231" t="e">
        <f t="shared" si="11"/>
        <v>#N/A</v>
      </c>
      <c r="F85" s="225" t="e">
        <f t="shared" si="12"/>
        <v>#N/A</v>
      </c>
      <c r="G85" s="227"/>
      <c r="H85" s="227"/>
      <c r="I85" s="167" t="e">
        <f t="shared" si="16"/>
        <v>#N/A</v>
      </c>
      <c r="J85" s="162">
        <f t="shared" si="19"/>
        <v>0</v>
      </c>
      <c r="K85" s="162">
        <f t="shared" si="20"/>
        <v>0</v>
      </c>
      <c r="L85" s="162">
        <f t="shared" si="21"/>
        <v>0</v>
      </c>
      <c r="M85" s="162">
        <f t="shared" si="18"/>
        <v>0</v>
      </c>
      <c r="N85" s="180"/>
      <c r="P85" s="165"/>
    </row>
    <row r="86" spans="1:16">
      <c r="A86" s="256"/>
      <c r="B86" s="23" t="e">
        <f t="shared" si="9"/>
        <v>#N/A</v>
      </c>
      <c r="C86" s="137"/>
      <c r="D86" s="24" t="e">
        <f t="shared" si="10"/>
        <v>#N/A</v>
      </c>
      <c r="E86" s="231" t="e">
        <f t="shared" si="11"/>
        <v>#N/A</v>
      </c>
      <c r="F86" s="225" t="e">
        <f t="shared" si="12"/>
        <v>#N/A</v>
      </c>
      <c r="G86" s="227"/>
      <c r="H86" s="227"/>
      <c r="I86" s="167" t="e">
        <f t="shared" si="16"/>
        <v>#N/A</v>
      </c>
      <c r="J86" s="162">
        <f t="shared" si="19"/>
        <v>0</v>
      </c>
      <c r="K86" s="162">
        <f t="shared" si="20"/>
        <v>0</v>
      </c>
      <c r="L86" s="162">
        <f t="shared" si="21"/>
        <v>0</v>
      </c>
      <c r="M86" s="162">
        <f t="shared" si="18"/>
        <v>0</v>
      </c>
      <c r="N86" s="180"/>
      <c r="P86" s="165"/>
    </row>
    <row r="87" spans="1:16">
      <c r="A87" s="256"/>
      <c r="B87" s="23" t="e">
        <f t="shared" si="9"/>
        <v>#N/A</v>
      </c>
      <c r="C87" s="137"/>
      <c r="D87" s="24" t="e">
        <f t="shared" si="10"/>
        <v>#N/A</v>
      </c>
      <c r="E87" s="231" t="e">
        <f t="shared" si="11"/>
        <v>#N/A</v>
      </c>
      <c r="F87" s="225" t="e">
        <f t="shared" si="12"/>
        <v>#N/A</v>
      </c>
      <c r="G87" s="227"/>
      <c r="H87" s="227"/>
      <c r="I87" s="167" t="e">
        <f t="shared" si="16"/>
        <v>#N/A</v>
      </c>
      <c r="J87" s="162">
        <f t="shared" si="19"/>
        <v>0</v>
      </c>
      <c r="K87" s="162">
        <f t="shared" si="20"/>
        <v>0</v>
      </c>
      <c r="L87" s="162">
        <f t="shared" si="21"/>
        <v>0</v>
      </c>
      <c r="M87" s="162">
        <f t="shared" si="18"/>
        <v>0</v>
      </c>
      <c r="N87" s="180"/>
      <c r="P87" s="165"/>
    </row>
    <row r="88" spans="1:16">
      <c r="A88" s="256"/>
      <c r="B88" s="23" t="e">
        <f t="shared" si="9"/>
        <v>#N/A</v>
      </c>
      <c r="C88" s="137"/>
      <c r="D88" s="24" t="e">
        <f t="shared" si="10"/>
        <v>#N/A</v>
      </c>
      <c r="E88" s="231" t="e">
        <f t="shared" si="11"/>
        <v>#N/A</v>
      </c>
      <c r="F88" s="225" t="e">
        <f t="shared" si="12"/>
        <v>#N/A</v>
      </c>
      <c r="G88" s="227"/>
      <c r="H88" s="227"/>
      <c r="I88" s="167" t="e">
        <f t="shared" si="16"/>
        <v>#N/A</v>
      </c>
      <c r="J88" s="162">
        <f t="shared" si="19"/>
        <v>0</v>
      </c>
      <c r="K88" s="162">
        <f t="shared" si="20"/>
        <v>0</v>
      </c>
      <c r="L88" s="162">
        <f t="shared" si="21"/>
        <v>0</v>
      </c>
      <c r="M88" s="162">
        <f t="shared" si="18"/>
        <v>0</v>
      </c>
      <c r="N88" s="180"/>
      <c r="P88" s="165"/>
    </row>
    <row r="89" spans="1:16">
      <c r="A89" s="256"/>
      <c r="B89" s="23" t="e">
        <f t="shared" si="9"/>
        <v>#N/A</v>
      </c>
      <c r="C89" s="137"/>
      <c r="D89" s="24" t="e">
        <f t="shared" si="10"/>
        <v>#N/A</v>
      </c>
      <c r="E89" s="231" t="e">
        <f t="shared" si="11"/>
        <v>#N/A</v>
      </c>
      <c r="F89" s="225" t="e">
        <f t="shared" si="12"/>
        <v>#N/A</v>
      </c>
      <c r="G89" s="227"/>
      <c r="H89" s="227"/>
      <c r="I89" s="167" t="e">
        <f t="shared" si="16"/>
        <v>#N/A</v>
      </c>
      <c r="J89" s="162">
        <f t="shared" si="19"/>
        <v>0</v>
      </c>
      <c r="K89" s="162">
        <f t="shared" si="20"/>
        <v>0</v>
      </c>
      <c r="L89" s="162">
        <f t="shared" si="21"/>
        <v>0</v>
      </c>
      <c r="M89" s="162">
        <f t="shared" si="18"/>
        <v>0</v>
      </c>
      <c r="N89" s="180"/>
      <c r="P89" s="165"/>
    </row>
    <row r="90" spans="1:16">
      <c r="A90" s="256"/>
      <c r="B90" s="23" t="e">
        <f t="shared" si="9"/>
        <v>#N/A</v>
      </c>
      <c r="C90" s="137"/>
      <c r="D90" s="24" t="e">
        <f t="shared" si="10"/>
        <v>#N/A</v>
      </c>
      <c r="E90" s="231" t="e">
        <f t="shared" si="11"/>
        <v>#N/A</v>
      </c>
      <c r="F90" s="225" t="e">
        <f t="shared" si="12"/>
        <v>#N/A</v>
      </c>
      <c r="G90" s="227"/>
      <c r="H90" s="227"/>
      <c r="I90" s="167" t="e">
        <f t="shared" si="16"/>
        <v>#N/A</v>
      </c>
      <c r="J90" s="162">
        <f t="shared" si="19"/>
        <v>0</v>
      </c>
      <c r="K90" s="162">
        <f t="shared" si="20"/>
        <v>0</v>
      </c>
      <c r="L90" s="162">
        <f t="shared" si="21"/>
        <v>0</v>
      </c>
      <c r="M90" s="162">
        <f t="shared" si="18"/>
        <v>0</v>
      </c>
      <c r="N90" s="180"/>
      <c r="P90" s="165"/>
    </row>
    <row r="91" spans="1:16">
      <c r="A91" s="256"/>
      <c r="B91" s="23" t="e">
        <f t="shared" si="9"/>
        <v>#N/A</v>
      </c>
      <c r="C91" s="137"/>
      <c r="D91" s="24" t="e">
        <f t="shared" si="10"/>
        <v>#N/A</v>
      </c>
      <c r="E91" s="231" t="e">
        <f t="shared" si="11"/>
        <v>#N/A</v>
      </c>
      <c r="F91" s="225" t="e">
        <f t="shared" si="12"/>
        <v>#N/A</v>
      </c>
      <c r="G91" s="227"/>
      <c r="H91" s="227"/>
      <c r="I91" s="167" t="e">
        <f t="shared" si="16"/>
        <v>#N/A</v>
      </c>
      <c r="J91" s="162">
        <f t="shared" si="19"/>
        <v>0</v>
      </c>
      <c r="K91" s="162">
        <f t="shared" si="20"/>
        <v>0</v>
      </c>
      <c r="L91" s="162">
        <f t="shared" si="21"/>
        <v>0</v>
      </c>
      <c r="M91" s="162">
        <f t="shared" si="18"/>
        <v>0</v>
      </c>
      <c r="N91" s="180"/>
      <c r="P91" s="165"/>
    </row>
    <row r="92" spans="1:16">
      <c r="A92" s="256"/>
      <c r="B92" s="23" t="e">
        <f t="shared" si="9"/>
        <v>#N/A</v>
      </c>
      <c r="C92" s="137"/>
      <c r="D92" s="24" t="e">
        <f t="shared" si="10"/>
        <v>#N/A</v>
      </c>
      <c r="E92" s="231" t="e">
        <f t="shared" si="11"/>
        <v>#N/A</v>
      </c>
      <c r="F92" s="225" t="e">
        <f t="shared" si="12"/>
        <v>#N/A</v>
      </c>
      <c r="G92" s="227"/>
      <c r="H92" s="227"/>
      <c r="I92" s="167" t="e">
        <f t="shared" si="16"/>
        <v>#N/A</v>
      </c>
      <c r="J92" s="162">
        <f t="shared" si="19"/>
        <v>0</v>
      </c>
      <c r="K92" s="162">
        <f t="shared" si="20"/>
        <v>0</v>
      </c>
      <c r="L92" s="162">
        <f t="shared" si="21"/>
        <v>0</v>
      </c>
      <c r="M92" s="162">
        <f t="shared" si="18"/>
        <v>0</v>
      </c>
      <c r="N92" s="180"/>
      <c r="P92" s="165"/>
    </row>
    <row r="93" spans="1:16">
      <c r="A93" s="256"/>
      <c r="B93" s="23" t="e">
        <f t="shared" si="9"/>
        <v>#N/A</v>
      </c>
      <c r="C93" s="137"/>
      <c r="D93" s="24" t="e">
        <f t="shared" si="10"/>
        <v>#N/A</v>
      </c>
      <c r="E93" s="231" t="e">
        <f t="shared" si="11"/>
        <v>#N/A</v>
      </c>
      <c r="F93" s="225" t="e">
        <f t="shared" si="12"/>
        <v>#N/A</v>
      </c>
      <c r="G93" s="227"/>
      <c r="H93" s="227"/>
      <c r="I93" s="167" t="e">
        <f t="shared" si="16"/>
        <v>#N/A</v>
      </c>
      <c r="J93" s="162">
        <f t="shared" si="19"/>
        <v>0</v>
      </c>
      <c r="K93" s="162">
        <f t="shared" si="20"/>
        <v>0</v>
      </c>
      <c r="L93" s="162">
        <f t="shared" si="21"/>
        <v>0</v>
      </c>
      <c r="M93" s="162">
        <f t="shared" si="18"/>
        <v>0</v>
      </c>
      <c r="N93" s="180"/>
      <c r="P93" s="165"/>
    </row>
    <row r="94" spans="1:16" hidden="1">
      <c r="A94" s="256"/>
      <c r="B94" s="23" t="e">
        <f t="shared" si="9"/>
        <v>#N/A</v>
      </c>
      <c r="C94" s="137"/>
      <c r="D94" s="24" t="e">
        <f t="shared" si="10"/>
        <v>#N/A</v>
      </c>
      <c r="E94" s="231" t="e">
        <f t="shared" si="11"/>
        <v>#N/A</v>
      </c>
      <c r="F94" s="225" t="e">
        <f t="shared" si="12"/>
        <v>#N/A</v>
      </c>
      <c r="G94" s="227"/>
      <c r="H94" s="227"/>
      <c r="I94" s="167" t="e">
        <f t="shared" si="16"/>
        <v>#N/A</v>
      </c>
      <c r="J94" s="162">
        <f t="shared" si="19"/>
        <v>0</v>
      </c>
      <c r="K94" s="162">
        <f t="shared" si="20"/>
        <v>0</v>
      </c>
      <c r="L94" s="162">
        <f t="shared" si="21"/>
        <v>0</v>
      </c>
      <c r="M94" s="162">
        <f t="shared" si="18"/>
        <v>0</v>
      </c>
      <c r="N94" s="180"/>
      <c r="P94" s="165"/>
    </row>
    <row r="95" spans="1:16" hidden="1">
      <c r="A95" s="256"/>
      <c r="B95" s="23" t="e">
        <f t="shared" si="9"/>
        <v>#N/A</v>
      </c>
      <c r="C95" s="137"/>
      <c r="D95" s="24" t="e">
        <f t="shared" si="10"/>
        <v>#N/A</v>
      </c>
      <c r="E95" s="231" t="e">
        <f t="shared" si="11"/>
        <v>#N/A</v>
      </c>
      <c r="F95" s="225" t="e">
        <f t="shared" si="12"/>
        <v>#N/A</v>
      </c>
      <c r="G95" s="227"/>
      <c r="H95" s="227"/>
      <c r="I95" s="167" t="e">
        <f t="shared" si="16"/>
        <v>#N/A</v>
      </c>
      <c r="J95" s="162">
        <f t="shared" si="19"/>
        <v>0</v>
      </c>
      <c r="K95" s="162">
        <f t="shared" si="20"/>
        <v>0</v>
      </c>
      <c r="L95" s="162">
        <f t="shared" si="21"/>
        <v>0</v>
      </c>
      <c r="M95" s="162">
        <f t="shared" si="18"/>
        <v>0</v>
      </c>
      <c r="N95" s="180"/>
      <c r="P95" s="165"/>
    </row>
    <row r="96" spans="1:16" hidden="1">
      <c r="A96" s="256"/>
      <c r="B96" s="23" t="e">
        <f t="shared" si="9"/>
        <v>#N/A</v>
      </c>
      <c r="C96" s="137"/>
      <c r="D96" s="24" t="e">
        <f t="shared" si="10"/>
        <v>#N/A</v>
      </c>
      <c r="E96" s="231" t="e">
        <f t="shared" si="11"/>
        <v>#N/A</v>
      </c>
      <c r="F96" s="225" t="e">
        <f t="shared" si="12"/>
        <v>#N/A</v>
      </c>
      <c r="G96" s="227"/>
      <c r="H96" s="227"/>
      <c r="I96" s="167" t="e">
        <f t="shared" si="16"/>
        <v>#N/A</v>
      </c>
      <c r="J96" s="162">
        <f t="shared" si="19"/>
        <v>0</v>
      </c>
      <c r="K96" s="162">
        <f t="shared" si="20"/>
        <v>0</v>
      </c>
      <c r="L96" s="162">
        <f t="shared" si="21"/>
        <v>0</v>
      </c>
      <c r="M96" s="162">
        <f t="shared" si="18"/>
        <v>0</v>
      </c>
      <c r="N96" s="180"/>
      <c r="P96" s="165"/>
    </row>
    <row r="97" spans="1:18" hidden="1">
      <c r="A97" s="256"/>
      <c r="B97" s="23" t="e">
        <f t="shared" si="9"/>
        <v>#N/A</v>
      </c>
      <c r="C97" s="137"/>
      <c r="D97" s="24" t="e">
        <f t="shared" si="10"/>
        <v>#N/A</v>
      </c>
      <c r="E97" s="231" t="e">
        <f t="shared" si="11"/>
        <v>#N/A</v>
      </c>
      <c r="F97" s="225" t="e">
        <f t="shared" si="12"/>
        <v>#N/A</v>
      </c>
      <c r="G97" s="227"/>
      <c r="H97" s="227"/>
      <c r="I97" s="167" t="e">
        <f t="shared" si="16"/>
        <v>#N/A</v>
      </c>
      <c r="J97" s="162">
        <f t="shared" si="19"/>
        <v>0</v>
      </c>
      <c r="K97" s="162">
        <f t="shared" si="20"/>
        <v>0</v>
      </c>
      <c r="L97" s="162">
        <f t="shared" si="21"/>
        <v>0</v>
      </c>
      <c r="M97" s="162">
        <f t="shared" si="18"/>
        <v>0</v>
      </c>
      <c r="N97" s="180"/>
      <c r="P97" s="165"/>
    </row>
    <row r="98" spans="1:18" hidden="1">
      <c r="A98" s="256"/>
      <c r="B98" s="23" t="e">
        <f t="shared" si="9"/>
        <v>#N/A</v>
      </c>
      <c r="C98" s="137"/>
      <c r="D98" s="24" t="e">
        <f t="shared" si="10"/>
        <v>#N/A</v>
      </c>
      <c r="E98" s="231" t="e">
        <f t="shared" si="11"/>
        <v>#N/A</v>
      </c>
      <c r="F98" s="225" t="e">
        <f t="shared" si="12"/>
        <v>#N/A</v>
      </c>
      <c r="G98" s="227"/>
      <c r="H98" s="227"/>
      <c r="I98" s="167" t="e">
        <f t="shared" si="16"/>
        <v>#N/A</v>
      </c>
      <c r="J98" s="162">
        <f t="shared" si="19"/>
        <v>0</v>
      </c>
      <c r="K98" s="162">
        <f t="shared" si="20"/>
        <v>0</v>
      </c>
      <c r="L98" s="162">
        <f t="shared" si="21"/>
        <v>0</v>
      </c>
      <c r="M98" s="162">
        <f t="shared" si="18"/>
        <v>0</v>
      </c>
      <c r="N98" s="180"/>
      <c r="P98" s="165"/>
    </row>
    <row r="99" spans="1:18" hidden="1">
      <c r="A99" s="256"/>
      <c r="B99" s="23" t="e">
        <f t="shared" si="9"/>
        <v>#N/A</v>
      </c>
      <c r="C99" s="137"/>
      <c r="D99" s="24" t="e">
        <f t="shared" si="10"/>
        <v>#N/A</v>
      </c>
      <c r="E99" s="231" t="e">
        <f t="shared" si="11"/>
        <v>#N/A</v>
      </c>
      <c r="F99" s="225" t="e">
        <f t="shared" si="12"/>
        <v>#N/A</v>
      </c>
      <c r="G99" s="227"/>
      <c r="H99" s="227"/>
      <c r="I99" s="167" t="e">
        <f t="shared" si="16"/>
        <v>#N/A</v>
      </c>
      <c r="J99" s="162">
        <f t="shared" si="19"/>
        <v>0</v>
      </c>
      <c r="K99" s="162">
        <f t="shared" si="20"/>
        <v>0</v>
      </c>
      <c r="L99" s="162">
        <f t="shared" si="21"/>
        <v>0</v>
      </c>
      <c r="M99" s="162">
        <f t="shared" si="18"/>
        <v>0</v>
      </c>
      <c r="N99" s="180"/>
      <c r="P99" s="165"/>
    </row>
    <row r="100" spans="1:18" hidden="1">
      <c r="A100" s="256"/>
      <c r="B100" s="23" t="e">
        <f t="shared" si="9"/>
        <v>#N/A</v>
      </c>
      <c r="C100" s="137"/>
      <c r="D100" s="24" t="e">
        <f t="shared" si="10"/>
        <v>#N/A</v>
      </c>
      <c r="E100" s="231" t="e">
        <f t="shared" si="11"/>
        <v>#N/A</v>
      </c>
      <c r="F100" s="225" t="e">
        <f t="shared" si="12"/>
        <v>#N/A</v>
      </c>
      <c r="G100" s="227"/>
      <c r="H100" s="227"/>
      <c r="I100" s="167" t="e">
        <f t="shared" si="16"/>
        <v>#N/A</v>
      </c>
      <c r="J100" s="162">
        <f t="shared" si="19"/>
        <v>0</v>
      </c>
      <c r="K100" s="162">
        <f t="shared" si="20"/>
        <v>0</v>
      </c>
      <c r="L100" s="162">
        <f t="shared" si="21"/>
        <v>0</v>
      </c>
      <c r="M100" s="162">
        <f t="shared" si="18"/>
        <v>0</v>
      </c>
      <c r="N100" s="180"/>
      <c r="P100" s="165"/>
    </row>
    <row r="101" spans="1:18" hidden="1">
      <c r="A101" s="256"/>
      <c r="B101" s="23" t="e">
        <f t="shared" si="9"/>
        <v>#N/A</v>
      </c>
      <c r="C101" s="137"/>
      <c r="D101" s="24" t="e">
        <f t="shared" si="10"/>
        <v>#N/A</v>
      </c>
      <c r="E101" s="231" t="e">
        <f t="shared" si="11"/>
        <v>#N/A</v>
      </c>
      <c r="F101" s="225" t="e">
        <f t="shared" si="12"/>
        <v>#N/A</v>
      </c>
      <c r="G101" s="227"/>
      <c r="H101" s="227"/>
      <c r="I101" s="167" t="e">
        <f t="shared" si="16"/>
        <v>#N/A</v>
      </c>
      <c r="J101" s="162">
        <f t="shared" si="19"/>
        <v>0</v>
      </c>
      <c r="K101" s="162">
        <f t="shared" si="20"/>
        <v>0</v>
      </c>
      <c r="L101" s="162">
        <f t="shared" si="21"/>
        <v>0</v>
      </c>
      <c r="M101" s="162">
        <f t="shared" si="18"/>
        <v>0</v>
      </c>
      <c r="N101" s="180"/>
      <c r="P101" s="165"/>
    </row>
    <row r="102" spans="1:18" hidden="1">
      <c r="A102" s="256"/>
      <c r="B102" s="23" t="e">
        <f t="shared" si="9"/>
        <v>#N/A</v>
      </c>
      <c r="C102" s="137"/>
      <c r="D102" s="24" t="e">
        <f t="shared" si="10"/>
        <v>#N/A</v>
      </c>
      <c r="E102" s="231" t="e">
        <f t="shared" si="11"/>
        <v>#N/A</v>
      </c>
      <c r="F102" s="225" t="e">
        <f t="shared" si="12"/>
        <v>#N/A</v>
      </c>
      <c r="G102" s="227"/>
      <c r="H102" s="227"/>
      <c r="I102" s="167" t="e">
        <f t="shared" si="16"/>
        <v>#N/A</v>
      </c>
      <c r="J102" s="162">
        <f t="shared" si="19"/>
        <v>0</v>
      </c>
      <c r="K102" s="162">
        <f t="shared" si="20"/>
        <v>0</v>
      </c>
      <c r="L102" s="162">
        <f t="shared" si="21"/>
        <v>0</v>
      </c>
      <c r="M102" s="162">
        <f t="shared" si="18"/>
        <v>0</v>
      </c>
      <c r="N102" s="180"/>
      <c r="P102" s="165"/>
    </row>
    <row r="103" spans="1:18" hidden="1">
      <c r="A103" s="256"/>
      <c r="B103" s="23" t="e">
        <f t="shared" si="9"/>
        <v>#N/A</v>
      </c>
      <c r="C103" s="137"/>
      <c r="D103" s="24" t="e">
        <f t="shared" si="10"/>
        <v>#N/A</v>
      </c>
      <c r="E103" s="231" t="e">
        <f t="shared" si="11"/>
        <v>#N/A</v>
      </c>
      <c r="F103" s="225" t="e">
        <f t="shared" si="12"/>
        <v>#N/A</v>
      </c>
      <c r="G103" s="227"/>
      <c r="H103" s="227"/>
      <c r="I103" s="167" t="e">
        <f t="shared" si="16"/>
        <v>#N/A</v>
      </c>
      <c r="J103" s="162">
        <f t="shared" si="19"/>
        <v>0</v>
      </c>
      <c r="K103" s="162">
        <f t="shared" si="20"/>
        <v>0</v>
      </c>
      <c r="L103" s="162">
        <f t="shared" si="21"/>
        <v>0</v>
      </c>
      <c r="M103" s="162">
        <f t="shared" si="18"/>
        <v>0</v>
      </c>
      <c r="N103" s="180"/>
      <c r="P103" s="165"/>
    </row>
    <row r="104" spans="1:18" hidden="1">
      <c r="A104" s="256"/>
      <c r="B104" s="23" t="e">
        <f t="shared" si="9"/>
        <v>#N/A</v>
      </c>
      <c r="C104" s="137"/>
      <c r="D104" s="24" t="e">
        <f t="shared" si="10"/>
        <v>#N/A</v>
      </c>
      <c r="E104" s="231" t="e">
        <f t="shared" si="11"/>
        <v>#N/A</v>
      </c>
      <c r="F104" s="225" t="e">
        <f t="shared" si="12"/>
        <v>#N/A</v>
      </c>
      <c r="G104" s="227"/>
      <c r="H104" s="227"/>
      <c r="I104" s="167" t="e">
        <f t="shared" si="16"/>
        <v>#N/A</v>
      </c>
      <c r="J104" s="162">
        <f t="shared" si="19"/>
        <v>0</v>
      </c>
      <c r="K104" s="162">
        <f t="shared" si="20"/>
        <v>0</v>
      </c>
      <c r="L104" s="162">
        <f t="shared" si="21"/>
        <v>0</v>
      </c>
      <c r="M104" s="162">
        <f t="shared" si="18"/>
        <v>0</v>
      </c>
      <c r="N104" s="180"/>
      <c r="P104" s="165"/>
    </row>
    <row r="105" spans="1:18" hidden="1">
      <c r="A105" s="256"/>
      <c r="B105" s="23" t="e">
        <f t="shared" si="9"/>
        <v>#N/A</v>
      </c>
      <c r="C105" s="137"/>
      <c r="D105" s="24" t="e">
        <f t="shared" si="10"/>
        <v>#N/A</v>
      </c>
      <c r="E105" s="231" t="e">
        <f t="shared" si="11"/>
        <v>#N/A</v>
      </c>
      <c r="F105" s="225" t="e">
        <f t="shared" si="12"/>
        <v>#N/A</v>
      </c>
      <c r="G105" s="227"/>
      <c r="H105" s="227"/>
      <c r="I105" s="167" t="e">
        <f t="shared" si="16"/>
        <v>#N/A</v>
      </c>
      <c r="J105" s="162">
        <f t="shared" si="19"/>
        <v>0</v>
      </c>
      <c r="K105" s="162">
        <f t="shared" si="20"/>
        <v>0</v>
      </c>
      <c r="L105" s="162">
        <f t="shared" si="21"/>
        <v>0</v>
      </c>
      <c r="M105" s="162">
        <f t="shared" si="18"/>
        <v>0</v>
      </c>
      <c r="N105" s="180"/>
      <c r="P105" s="165"/>
    </row>
    <row r="106" spans="1:18">
      <c r="A106" s="256"/>
      <c r="B106" s="23" t="e">
        <f t="shared" si="9"/>
        <v>#N/A</v>
      </c>
      <c r="C106" s="137"/>
      <c r="D106" s="24" t="e">
        <f t="shared" si="10"/>
        <v>#N/A</v>
      </c>
      <c r="E106" s="231" t="e">
        <f t="shared" si="11"/>
        <v>#N/A</v>
      </c>
      <c r="F106" s="225" t="e">
        <f t="shared" si="12"/>
        <v>#N/A</v>
      </c>
      <c r="G106" s="227"/>
      <c r="H106" s="227"/>
      <c r="I106" s="167" t="e">
        <f t="shared" si="16"/>
        <v>#N/A</v>
      </c>
      <c r="J106" s="162">
        <f t="shared" si="19"/>
        <v>0</v>
      </c>
      <c r="K106" s="162">
        <f t="shared" si="20"/>
        <v>0</v>
      </c>
      <c r="L106" s="162">
        <f t="shared" si="21"/>
        <v>0</v>
      </c>
      <c r="M106" s="162">
        <f t="shared" si="18"/>
        <v>0</v>
      </c>
      <c r="N106" s="180"/>
      <c r="P106" s="165"/>
    </row>
    <row r="107" spans="1:18">
      <c r="A107" s="256"/>
      <c r="B107" s="23" t="e">
        <f t="shared" si="9"/>
        <v>#N/A</v>
      </c>
      <c r="C107" s="137"/>
      <c r="D107" s="24" t="e">
        <f t="shared" si="10"/>
        <v>#N/A</v>
      </c>
      <c r="E107" s="231" t="e">
        <f t="shared" si="11"/>
        <v>#N/A</v>
      </c>
      <c r="F107" s="225" t="e">
        <f t="shared" si="12"/>
        <v>#N/A</v>
      </c>
      <c r="G107" s="227"/>
      <c r="H107" s="227"/>
      <c r="I107" s="167" t="e">
        <f t="shared" si="16"/>
        <v>#N/A</v>
      </c>
      <c r="J107" s="162">
        <f t="shared" si="19"/>
        <v>0</v>
      </c>
      <c r="K107" s="162">
        <f t="shared" si="20"/>
        <v>0</v>
      </c>
      <c r="L107" s="162">
        <f t="shared" si="21"/>
        <v>0</v>
      </c>
      <c r="M107" s="162">
        <f t="shared" si="18"/>
        <v>0</v>
      </c>
      <c r="N107" s="180"/>
      <c r="P107" s="165"/>
    </row>
    <row r="108" spans="1:18" ht="13.5" thickBot="1">
      <c r="A108" s="257"/>
      <c r="B108" s="181"/>
      <c r="C108" s="181"/>
      <c r="D108" s="182"/>
      <c r="E108" s="183"/>
      <c r="F108" s="228"/>
      <c r="G108" s="229"/>
      <c r="H108" s="229"/>
      <c r="I108" s="230"/>
      <c r="J108" s="183"/>
      <c r="K108" s="183"/>
      <c r="L108" s="183"/>
      <c r="M108" s="184"/>
      <c r="N108" s="180"/>
      <c r="P108" s="165"/>
    </row>
    <row r="109" spans="1:18" ht="13.5" thickTop="1">
      <c r="A109" s="258"/>
      <c r="B109" s="137"/>
      <c r="C109" s="137"/>
      <c r="D109" s="139"/>
      <c r="E109" s="142"/>
      <c r="F109" s="142"/>
      <c r="I109" s="185" t="s">
        <v>115</v>
      </c>
      <c r="J109" s="186">
        <f>SUM(J8:J108)</f>
        <v>1830101.355</v>
      </c>
      <c r="K109" s="187"/>
      <c r="L109" s="188">
        <f>SUM(L8:L108)</f>
        <v>526716.32000000007</v>
      </c>
      <c r="M109" s="189">
        <f>SUM(M8:M108)</f>
        <v>1303385.0350000001</v>
      </c>
      <c r="N109" s="137"/>
      <c r="P109" s="165"/>
    </row>
    <row r="110" spans="1:18">
      <c r="A110" s="258" t="s">
        <v>56</v>
      </c>
      <c r="B110" s="137"/>
      <c r="C110" s="137"/>
      <c r="D110" s="139"/>
      <c r="E110" s="137" t="s">
        <v>57</v>
      </c>
      <c r="F110" s="137"/>
      <c r="G110" s="199" t="s">
        <v>119</v>
      </c>
      <c r="H110" s="142"/>
      <c r="K110" s="141"/>
      <c r="L110" s="141"/>
      <c r="M110" s="141" t="s">
        <v>63</v>
      </c>
      <c r="N110" s="165"/>
      <c r="O110" s="145">
        <f>L109</f>
        <v>526716.32000000007</v>
      </c>
      <c r="P110" s="165"/>
    </row>
    <row r="111" spans="1:18">
      <c r="A111" s="258"/>
      <c r="B111" s="137"/>
      <c r="E111" t="str">
        <f>'PROJECT INFO'!F16</f>
        <v>384-8101-439-7517</v>
      </c>
      <c r="F111"/>
      <c r="G111" s="217">
        <f>'PROJECT INFO'!C16</f>
        <v>0</v>
      </c>
      <c r="H111" s="347">
        <v>4547.5</v>
      </c>
      <c r="I111" t="str">
        <f>'PROJECT INFO'!J16</f>
        <v>(NTE $1,004,711.76)</v>
      </c>
      <c r="L111" s="141"/>
      <c r="M111" s="141" t="s">
        <v>58</v>
      </c>
      <c r="N111" s="165"/>
      <c r="O111" s="145">
        <v>0</v>
      </c>
      <c r="P111" s="165"/>
    </row>
    <row r="112" spans="1:18">
      <c r="A112" s="259" t="s">
        <v>85</v>
      </c>
      <c r="B112" s="190"/>
      <c r="C112" s="190"/>
      <c r="D112" s="207"/>
      <c r="E112" s="344" t="str">
        <f>'PROJECT INFO'!F17</f>
        <v>607-7704-39-7517</v>
      </c>
      <c r="F112" s="344"/>
      <c r="G112" s="217">
        <f>'PROJECT INFO'!C17</f>
        <v>0</v>
      </c>
      <c r="H112" s="347"/>
      <c r="I112" t="str">
        <f>'PROJECT INFO'!J17</f>
        <v>(NTE $300,000.00)</v>
      </c>
      <c r="L112" s="141"/>
      <c r="M112" s="141" t="str">
        <f>IF(Q112="Y","LESS: 3% RETAINED (MAX $30,000):","LESS: 5% RETAINED:")</f>
        <v>LESS: 5% RETAINED:</v>
      </c>
      <c r="N112" s="165"/>
      <c r="O112" s="145">
        <f>IF(Q112="Y",IF(0.03*O110&lt;30000,ROUND(0.03*O110,2),30000),ROUND(0.05*O110,2))</f>
        <v>26335.82</v>
      </c>
      <c r="P112" s="165"/>
      <c r="Q112" s="191" t="s">
        <v>106</v>
      </c>
      <c r="R112" s="192" t="s">
        <v>107</v>
      </c>
    </row>
    <row r="113" spans="1:17">
      <c r="A113" s="258"/>
      <c r="B113" s="137"/>
      <c r="E113" s="345" t="str">
        <f>'PROJECT INFO'!F18</f>
        <v>510-8461489-7514</v>
      </c>
      <c r="F113" s="345"/>
      <c r="G113" s="217">
        <f>'PROJECT INFO'!C18</f>
        <v>0</v>
      </c>
      <c r="H113" s="347">
        <v>132877.5</v>
      </c>
      <c r="I113" t="str">
        <f>'PROJECT INFO'!J18</f>
        <v>(NTE $360,255.50)</v>
      </c>
      <c r="L113" s="141"/>
      <c r="M113" s="141" t="s">
        <v>59</v>
      </c>
      <c r="N113" s="165"/>
      <c r="O113" s="145">
        <f>O110+O111-O112</f>
        <v>500380.50000000006</v>
      </c>
      <c r="P113" s="165"/>
    </row>
    <row r="114" spans="1:17">
      <c r="A114" s="259" t="s">
        <v>60</v>
      </c>
      <c r="B114" s="190"/>
      <c r="C114" s="190"/>
      <c r="D114" s="207"/>
      <c r="E114" s="346" t="str">
        <f>'PROJECT INFO'!F19</f>
        <v>520-8542-489-7514</v>
      </c>
      <c r="F114" s="346"/>
      <c r="G114" s="217">
        <f>'PROJECT INFO'!C19</f>
        <v>0</v>
      </c>
      <c r="H114" s="347"/>
      <c r="I114" t="str">
        <f>'PROJECT INFO'!J19</f>
        <v>(NTE $163,034.10)</v>
      </c>
      <c r="L114" s="141"/>
      <c r="M114" s="141" t="s">
        <v>61</v>
      </c>
      <c r="N114" s="165"/>
      <c r="O114" s="145">
        <f>O33</f>
        <v>362955.5</v>
      </c>
      <c r="P114" s="165"/>
    </row>
    <row r="115" spans="1:17">
      <c r="A115" s="258"/>
      <c r="B115" s="137"/>
      <c r="E115">
        <f>'PROJECT INFO'!F20</f>
        <v>0</v>
      </c>
      <c r="F115"/>
      <c r="G115" s="217">
        <f>'PROJECT INFO'!C20</f>
        <v>0</v>
      </c>
      <c r="H115" s="208"/>
      <c r="I115" t="str">
        <f>'PROJECT INFO'!J20</f>
        <v>(NTE $00.00)</v>
      </c>
      <c r="L115" s="193"/>
      <c r="M115" s="193" t="s">
        <v>62</v>
      </c>
      <c r="N115" s="194"/>
      <c r="O115" s="195">
        <f>O113-O114</f>
        <v>137425.00000000006</v>
      </c>
      <c r="P115" s="165"/>
    </row>
    <row r="116" spans="1:17">
      <c r="A116" s="258"/>
      <c r="B116" s="137"/>
      <c r="C116" s="137"/>
      <c r="D116" s="139"/>
      <c r="E116">
        <f>'PROJECT INFO'!F21</f>
        <v>0</v>
      </c>
      <c r="F116"/>
      <c r="G116" s="217">
        <f>'PROJECT INFO'!C21</f>
        <v>0</v>
      </c>
      <c r="H116" s="208"/>
      <c r="I116" t="str">
        <f>'PROJECT INFO'!J21</f>
        <v>(NTE $00.00)</v>
      </c>
      <c r="K116" s="137"/>
      <c r="L116" s="137"/>
      <c r="M116" s="137"/>
      <c r="N116" s="137"/>
      <c r="O116" s="137"/>
      <c r="P116" s="165"/>
    </row>
    <row r="117" spans="1:17">
      <c r="E117">
        <f>'PROJECT INFO'!F22</f>
        <v>0</v>
      </c>
      <c r="F117"/>
      <c r="G117" s="217">
        <f>'PROJECT INFO'!C22</f>
        <v>0</v>
      </c>
      <c r="H117" s="208"/>
      <c r="I117" t="str">
        <f>'PROJECT INFO'!J22</f>
        <v>(NTE $00.00)</v>
      </c>
    </row>
    <row r="118" spans="1:17">
      <c r="E118">
        <f>'PROJECT INFO'!F23</f>
        <v>0</v>
      </c>
      <c r="F118"/>
      <c r="G118" s="217">
        <f>'PROJECT INFO'!C23</f>
        <v>0</v>
      </c>
      <c r="H118" s="208"/>
      <c r="I118" t="str">
        <f>'PROJECT INFO'!J23</f>
        <v>(NTE $00.00)</v>
      </c>
    </row>
    <row r="119" spans="1:17">
      <c r="D119" s="139"/>
      <c r="E119">
        <f>'PROJECT INFO'!F24</f>
        <v>0</v>
      </c>
      <c r="F119"/>
      <c r="G119" s="217">
        <f>'PROJECT INFO'!C24</f>
        <v>0</v>
      </c>
      <c r="H119" s="208"/>
      <c r="I119" t="str">
        <f>'PROJECT INFO'!J24</f>
        <v>(NTE $00.00)</v>
      </c>
    </row>
    <row r="120" spans="1:17">
      <c r="D120" s="139"/>
      <c r="E120">
        <f>'PROJECT INFO'!F25</f>
        <v>0</v>
      </c>
      <c r="F120"/>
      <c r="G120" s="217">
        <f>'PROJECT INFO'!C25</f>
        <v>0</v>
      </c>
      <c r="H120" s="208"/>
      <c r="I120" t="str">
        <f>'PROJECT INFO'!J25</f>
        <v>(NTE $00.00)</v>
      </c>
    </row>
    <row r="121" spans="1:17">
      <c r="A121" s="261" t="s">
        <v>122</v>
      </c>
      <c r="D121" s="139"/>
      <c r="E121" s="142"/>
      <c r="K121" s="200"/>
      <c r="L121" s="200"/>
      <c r="M121" s="201" t="s">
        <v>108</v>
      </c>
      <c r="N121" s="200"/>
      <c r="O121" s="202">
        <f>O5-O33</f>
        <v>1467145.86</v>
      </c>
      <c r="Q121" s="140" t="s">
        <v>121</v>
      </c>
    </row>
    <row r="122" spans="1:17">
      <c r="D122" s="139"/>
      <c r="E122" s="142"/>
      <c r="K122" s="200"/>
      <c r="L122" s="200"/>
      <c r="M122" s="203" t="s">
        <v>109</v>
      </c>
      <c r="N122" s="204"/>
      <c r="O122" s="205">
        <f>O121-O115</f>
        <v>1329720.8600000001</v>
      </c>
    </row>
    <row r="123" spans="1:17">
      <c r="E123" s="142"/>
    </row>
    <row r="124" spans="1:17">
      <c r="E124" s="142"/>
    </row>
    <row r="125" spans="1:17">
      <c r="E125" s="142"/>
    </row>
    <row r="126" spans="1:17">
      <c r="E126" s="142"/>
    </row>
    <row r="127" spans="1:17">
      <c r="E127" s="142"/>
      <c r="G127" s="140" t="s">
        <v>294</v>
      </c>
      <c r="H127" s="353">
        <f>SUM(H111:H114)</f>
        <v>137425</v>
      </c>
    </row>
    <row r="128" spans="1:17">
      <c r="E128" s="142"/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C148" s="137"/>
      <c r="E148" s="142"/>
    </row>
    <row r="149" spans="3:5">
      <c r="E149" s="142"/>
    </row>
    <row r="150" spans="3:5">
      <c r="E150" s="142"/>
    </row>
  </sheetData>
  <conditionalFormatting sqref="B8:I107">
    <cfRule type="expression" dxfId="27" priority="2">
      <formula>ISERROR(B8)</formula>
    </cfRule>
  </conditionalFormatting>
  <conditionalFormatting sqref="E111:F120 H111:H120">
    <cfRule type="expression" dxfId="26" priority="4">
      <formula>ISTEXT($E111)</formula>
    </cfRule>
  </conditionalFormatting>
  <conditionalFormatting sqref="E111:I120">
    <cfRule type="expression" dxfId="25" priority="1">
      <formula>ISNUMBER($E111)</formula>
    </cfRule>
  </conditionalFormatting>
  <conditionalFormatting sqref="K8:K107">
    <cfRule type="cellIs" dxfId="24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056B3-1399-4617-A66C-AF154D4DCD4F}">
  <sheetPr>
    <pageSetUpPr autoPageBreaks="0" fitToPage="1"/>
  </sheetPr>
  <dimension ref="A1:S150"/>
  <sheetViews>
    <sheetView showOutlineSymbols="0" zoomScale="80" zoomScaleNormal="80" zoomScaleSheetLayoutView="100" workbookViewId="0">
      <selection activeCell="O115" sqref="O115"/>
    </sheetView>
  </sheetViews>
  <sheetFormatPr defaultColWidth="12.7109375" defaultRowHeight="12.75"/>
  <cols>
    <col min="1" max="1" width="6.28515625" style="260" customWidth="1"/>
    <col min="2" max="2" width="10" style="140" customWidth="1"/>
    <col min="3" max="3" width="86.85546875" style="140" customWidth="1"/>
    <col min="4" max="4" width="6.140625" style="62" bestFit="1" customWidth="1"/>
    <col min="5" max="9" width="13.7109375" style="140" customWidth="1"/>
    <col min="10" max="10" width="15" style="140" customWidth="1"/>
    <col min="11" max="12" width="13.7109375" style="140" customWidth="1"/>
    <col min="13" max="13" width="16.28515625" style="140" customWidth="1"/>
    <col min="14" max="14" width="4.7109375" style="140" customWidth="1"/>
    <col min="15" max="15" width="15" style="140" customWidth="1"/>
    <col min="16" max="16384" width="12.7109375" style="140"/>
  </cols>
  <sheetData>
    <row r="1" spans="1:18">
      <c r="A1" s="137" t="s">
        <v>39</v>
      </c>
      <c r="B1" s="137"/>
      <c r="C1" s="138" t="str">
        <f>UPPER(CONCATENATE(Fiscal_Year," ",Program))</f>
        <v>2023/24 SEAL COAT STREET PAVEMENT IMPROVEMENTS</v>
      </c>
      <c r="D1" s="139"/>
      <c r="E1" s="218" t="str">
        <f>UPPER(CONCATENATE(Division," division"))</f>
        <v>ENGINEERING DIVISION</v>
      </c>
      <c r="F1" s="218"/>
      <c r="G1" s="218"/>
      <c r="H1" s="218"/>
      <c r="I1" s="139"/>
      <c r="J1" s="137"/>
      <c r="M1" s="141" t="s">
        <v>38</v>
      </c>
      <c r="N1" s="139"/>
      <c r="O1" s="141" t="str">
        <f>IF('PROJECT INFO'!B26&gt;1,"Various",Account_Number0)</f>
        <v>Various</v>
      </c>
      <c r="P1" s="142"/>
    </row>
    <row r="2" spans="1:18">
      <c r="A2" s="137" t="s">
        <v>112</v>
      </c>
      <c r="B2" s="137"/>
      <c r="C2" s="138" t="str">
        <f>UPPER(CONCATENATE("(",Location,")"))</f>
        <v>(E 16TH ST; GLENDALE AVE)</v>
      </c>
      <c r="E2" s="218" t="str">
        <f>UPPER(CONCATENATE(Department," department"))</f>
        <v>PUBLIC WORKS DEPARTMENT</v>
      </c>
      <c r="F2" s="218"/>
      <c r="G2" s="218"/>
      <c r="H2" s="218"/>
      <c r="I2" s="139"/>
      <c r="L2" s="141"/>
      <c r="M2" s="141" t="s">
        <v>64</v>
      </c>
      <c r="N2" s="139"/>
      <c r="O2" s="141">
        <f>Purchase_Order</f>
        <v>62893</v>
      </c>
      <c r="P2" s="137"/>
    </row>
    <row r="3" spans="1:18">
      <c r="A3" s="137" t="s">
        <v>40</v>
      </c>
      <c r="B3" s="137"/>
      <c r="C3" s="143" t="str">
        <f>Contractor_Name</f>
        <v>Manatt's Inc</v>
      </c>
      <c r="E3" s="218" t="s">
        <v>41</v>
      </c>
      <c r="F3" s="218"/>
      <c r="G3" s="218"/>
      <c r="H3" s="218"/>
      <c r="I3" s="24"/>
      <c r="L3" s="141"/>
      <c r="M3" s="141" t="s">
        <v>42</v>
      </c>
      <c r="N3" s="139"/>
      <c r="O3" s="144">
        <f>Contract_Date</f>
        <v>45335</v>
      </c>
      <c r="P3" s="137"/>
    </row>
    <row r="4" spans="1:18">
      <c r="A4" s="137" t="s">
        <v>43</v>
      </c>
      <c r="B4" s="137"/>
      <c r="C4" s="143" t="str">
        <f>Contractor_Address1</f>
        <v>2120 E 13th Street</v>
      </c>
      <c r="F4" s="138" t="s">
        <v>44</v>
      </c>
      <c r="G4" s="139">
        <f>COUNT(O25:O31)+1</f>
        <v>4</v>
      </c>
      <c r="H4" s="140" t="s">
        <v>295</v>
      </c>
      <c r="I4" s="139"/>
      <c r="L4" s="141"/>
      <c r="M4" s="141" t="s">
        <v>45</v>
      </c>
      <c r="N4" s="139"/>
      <c r="O4" s="145">
        <f>Award_Amount</f>
        <v>1828001.36</v>
      </c>
      <c r="P4" s="137"/>
    </row>
    <row r="5" spans="1:18">
      <c r="A5" s="137"/>
      <c r="B5" s="137"/>
      <c r="C5" s="143" t="str">
        <f>Contractor_Address2</f>
        <v>Ames, IA 50010</v>
      </c>
      <c r="F5" s="138" t="s">
        <v>46</v>
      </c>
      <c r="G5" s="146">
        <v>45484</v>
      </c>
      <c r="I5" s="147"/>
      <c r="J5" s="148"/>
      <c r="L5" s="141"/>
      <c r="M5" s="141" t="s">
        <v>47</v>
      </c>
      <c r="N5" s="139"/>
      <c r="O5" s="145">
        <f>SUM(O4+O19)</f>
        <v>1830101.36</v>
      </c>
      <c r="P5" s="137"/>
    </row>
    <row r="6" spans="1:18">
      <c r="A6" s="149"/>
      <c r="B6" s="150"/>
      <c r="C6" s="150"/>
      <c r="D6" s="151"/>
      <c r="E6" s="150"/>
      <c r="F6" s="152" t="s">
        <v>48</v>
      </c>
      <c r="G6" s="153"/>
      <c r="H6" s="153"/>
      <c r="I6" s="154"/>
      <c r="J6" s="152" t="s">
        <v>67</v>
      </c>
      <c r="K6" s="153"/>
      <c r="L6" s="153"/>
      <c r="M6" s="154"/>
      <c r="N6" s="137"/>
      <c r="O6" s="137"/>
      <c r="P6" s="137"/>
    </row>
    <row r="7" spans="1:18">
      <c r="A7" s="255" t="s">
        <v>49</v>
      </c>
      <c r="B7" s="155" t="s">
        <v>25</v>
      </c>
      <c r="C7" s="156"/>
      <c r="D7" s="157" t="s">
        <v>6</v>
      </c>
      <c r="E7" s="158" t="s">
        <v>8</v>
      </c>
      <c r="F7" s="159" t="s">
        <v>50</v>
      </c>
      <c r="G7" s="158" t="s">
        <v>66</v>
      </c>
      <c r="H7" s="158" t="s">
        <v>51</v>
      </c>
      <c r="I7" s="160" t="s">
        <v>52</v>
      </c>
      <c r="J7" s="159" t="s">
        <v>50</v>
      </c>
      <c r="K7" s="158" t="s">
        <v>66</v>
      </c>
      <c r="L7" s="158" t="s">
        <v>51</v>
      </c>
      <c r="M7" s="160" t="s">
        <v>52</v>
      </c>
      <c r="N7" s="137"/>
      <c r="O7" s="137"/>
      <c r="P7" s="141"/>
    </row>
    <row r="8" spans="1:18">
      <c r="A8" s="256"/>
      <c r="B8" s="23" t="e">
        <f t="shared" ref="B8:B72" si="0">VLOOKUP($A8,BIDTAB,2,FALSE)</f>
        <v>#N/A</v>
      </c>
      <c r="C8" s="137"/>
      <c r="D8" s="24" t="e">
        <f t="shared" ref="D8:D72" si="1">VLOOKUP($A8,BIDTAB,3,FALSE)</f>
        <v>#N/A</v>
      </c>
      <c r="E8" s="231" t="e">
        <f t="shared" ref="E8:E72" si="2">VLOOKUP($A8,BIDTAB,7,FALSE)</f>
        <v>#N/A</v>
      </c>
      <c r="F8" s="223" t="e">
        <f t="shared" ref="F8:F72" si="3">VLOOKUP($A8,BIDTAB,4,FALSE)</f>
        <v>#N/A</v>
      </c>
      <c r="G8" s="224"/>
      <c r="H8" s="224"/>
      <c r="I8" s="161" t="e">
        <f>IF(ISBLANK(G8),F8,F8+G8)-H8</f>
        <v>#N/A</v>
      </c>
      <c r="J8" s="162">
        <f t="shared" ref="J8:J72" si="4">IF(ISERROR(F8*E8),0,F8*E8)</f>
        <v>0</v>
      </c>
      <c r="K8" s="162">
        <f t="shared" ref="K8:K72" si="5">IF(ISERROR(G8*E8),0,G8*E8)</f>
        <v>0</v>
      </c>
      <c r="L8" s="162">
        <f t="shared" ref="L8:L72" si="6">IF(ISERROR(H8*E8),0,H8*E8)</f>
        <v>0</v>
      </c>
      <c r="M8" s="162">
        <f>SUM(J8:K8)-L8</f>
        <v>0</v>
      </c>
      <c r="N8" s="163" t="s">
        <v>53</v>
      </c>
      <c r="O8" s="164"/>
      <c r="P8" s="165"/>
      <c r="R8" s="162">
        <f>L8-'PAY EST 3'!L8</f>
        <v>0</v>
      </c>
    </row>
    <row r="9" spans="1:18">
      <c r="A9" s="256" t="s">
        <v>226</v>
      </c>
      <c r="B9" s="23" t="str">
        <f t="shared" si="0"/>
        <v>Topsoil, 8" Depth</v>
      </c>
      <c r="C9" s="166"/>
      <c r="D9" s="24" t="str">
        <f t="shared" si="1"/>
        <v>cy</v>
      </c>
      <c r="E9" s="231">
        <f t="shared" si="2"/>
        <v>28</v>
      </c>
      <c r="F9" s="225">
        <f t="shared" si="3"/>
        <v>991.3</v>
      </c>
      <c r="G9" s="226"/>
      <c r="H9" s="226">
        <v>247.82499999999999</v>
      </c>
      <c r="I9" s="167">
        <f t="shared" ref="I9:I73" si="7">IF(ISBLANK(G9),F9,F9+G9)-H9</f>
        <v>743.47499999999991</v>
      </c>
      <c r="J9" s="162">
        <f t="shared" si="4"/>
        <v>27756.399999999998</v>
      </c>
      <c r="K9" s="162">
        <f t="shared" si="5"/>
        <v>0</v>
      </c>
      <c r="L9" s="162">
        <f t="shared" si="6"/>
        <v>6939.0999999999995</v>
      </c>
      <c r="M9" s="162">
        <f t="shared" ref="M9:M73" si="8">SUM(J9:K9)-L9</f>
        <v>20817.3</v>
      </c>
      <c r="N9" s="168"/>
      <c r="O9" s="169"/>
      <c r="P9" s="165"/>
      <c r="R9" s="162">
        <f>L9-'PAY EST 3'!L9</f>
        <v>6939.0999999999995</v>
      </c>
    </row>
    <row r="10" spans="1:18">
      <c r="A10" s="256" t="s">
        <v>227</v>
      </c>
      <c r="B10" s="23" t="str">
        <f t="shared" si="0"/>
        <v>Excavation, Class 10, 11" Depth</v>
      </c>
      <c r="C10" s="137"/>
      <c r="D10" s="24" t="str">
        <f t="shared" si="1"/>
        <v>cy</v>
      </c>
      <c r="E10" s="231">
        <f t="shared" si="2"/>
        <v>20</v>
      </c>
      <c r="F10" s="225">
        <f t="shared" si="3"/>
        <v>3053.5</v>
      </c>
      <c r="G10" s="226"/>
      <c r="H10" s="226">
        <v>763.37</v>
      </c>
      <c r="I10" s="167">
        <f t="shared" si="7"/>
        <v>2290.13</v>
      </c>
      <c r="J10" s="162">
        <f t="shared" si="4"/>
        <v>61070</v>
      </c>
      <c r="K10" s="162">
        <f t="shared" si="5"/>
        <v>0</v>
      </c>
      <c r="L10" s="162">
        <f t="shared" si="6"/>
        <v>15267.4</v>
      </c>
      <c r="M10" s="162">
        <f t="shared" si="8"/>
        <v>45802.6</v>
      </c>
      <c r="N10" s="170">
        <v>1</v>
      </c>
      <c r="O10" s="352">
        <v>2100</v>
      </c>
      <c r="P10" s="165"/>
      <c r="R10" s="162">
        <f>L10-'PAY EST 3'!L10</f>
        <v>15267.4</v>
      </c>
    </row>
    <row r="11" spans="1:18">
      <c r="A11" s="256" t="s">
        <v>228</v>
      </c>
      <c r="B11" s="23" t="str">
        <f t="shared" si="0"/>
        <v>Subgrade Preparation, 12" Depth</v>
      </c>
      <c r="C11" s="137"/>
      <c r="D11" s="24" t="str">
        <f t="shared" si="1"/>
        <v>sy</v>
      </c>
      <c r="E11" s="231">
        <f t="shared" si="2"/>
        <v>3.25</v>
      </c>
      <c r="F11" s="225">
        <f t="shared" si="3"/>
        <v>11990</v>
      </c>
      <c r="G11" s="226"/>
      <c r="H11" s="226">
        <v>4219.78</v>
      </c>
      <c r="I11" s="167">
        <f t="shared" si="7"/>
        <v>7770.22</v>
      </c>
      <c r="J11" s="162">
        <f t="shared" si="4"/>
        <v>38967.5</v>
      </c>
      <c r="K11" s="162">
        <f t="shared" si="5"/>
        <v>0</v>
      </c>
      <c r="L11" s="162">
        <f t="shared" si="6"/>
        <v>13714.285</v>
      </c>
      <c r="M11" s="162">
        <f t="shared" si="8"/>
        <v>25253.215</v>
      </c>
      <c r="N11" s="171">
        <v>2</v>
      </c>
      <c r="O11" s="238"/>
      <c r="P11" s="165"/>
      <c r="R11" s="162">
        <f>L11-'PAY EST 3'!L11</f>
        <v>13714.285</v>
      </c>
    </row>
    <row r="12" spans="1:18">
      <c r="A12" s="256" t="s">
        <v>229</v>
      </c>
      <c r="B12" s="23" t="str">
        <f t="shared" si="0"/>
        <v>Special Backfill, 6" Depth</v>
      </c>
      <c r="C12" s="137"/>
      <c r="D12" s="24" t="str">
        <f t="shared" si="1"/>
        <v>sy</v>
      </c>
      <c r="E12" s="231">
        <f t="shared" si="2"/>
        <v>9</v>
      </c>
      <c r="F12" s="225">
        <f t="shared" si="3"/>
        <v>11990</v>
      </c>
      <c r="G12" s="226"/>
      <c r="H12" s="226">
        <v>4219.78</v>
      </c>
      <c r="I12" s="167">
        <f t="shared" si="7"/>
        <v>7770.22</v>
      </c>
      <c r="J12" s="162">
        <f t="shared" si="4"/>
        <v>107910</v>
      </c>
      <c r="K12" s="162">
        <f t="shared" si="5"/>
        <v>0</v>
      </c>
      <c r="L12" s="162">
        <f t="shared" si="6"/>
        <v>37978.019999999997</v>
      </c>
      <c r="M12" s="162">
        <f t="shared" si="8"/>
        <v>69931.98000000001</v>
      </c>
      <c r="N12" s="171">
        <v>3</v>
      </c>
      <c r="O12" s="238"/>
      <c r="P12" s="165"/>
      <c r="R12" s="162">
        <f>L12-'PAY EST 3'!L12</f>
        <v>37978.019999999997</v>
      </c>
    </row>
    <row r="13" spans="1:18">
      <c r="A13" s="256"/>
      <c r="B13" s="23" t="e">
        <f t="shared" si="0"/>
        <v>#N/A</v>
      </c>
      <c r="C13" s="137"/>
      <c r="D13" s="24" t="e">
        <f t="shared" si="1"/>
        <v>#N/A</v>
      </c>
      <c r="E13" s="231" t="e">
        <f t="shared" si="2"/>
        <v>#N/A</v>
      </c>
      <c r="F13" s="225" t="e">
        <f t="shared" si="3"/>
        <v>#N/A</v>
      </c>
      <c r="G13" s="226"/>
      <c r="H13" s="226"/>
      <c r="I13" s="167" t="e">
        <f t="shared" si="7"/>
        <v>#N/A</v>
      </c>
      <c r="J13" s="162">
        <f t="shared" si="4"/>
        <v>0</v>
      </c>
      <c r="K13" s="162">
        <f t="shared" si="5"/>
        <v>0</v>
      </c>
      <c r="L13" s="162">
        <f t="shared" si="6"/>
        <v>0</v>
      </c>
      <c r="M13" s="162">
        <f t="shared" si="8"/>
        <v>0</v>
      </c>
      <c r="N13" s="171">
        <v>4</v>
      </c>
      <c r="O13" s="238"/>
      <c r="P13" s="165"/>
      <c r="R13" s="162">
        <f>L13-'PAY EST 3'!L13</f>
        <v>0</v>
      </c>
    </row>
    <row r="14" spans="1:18">
      <c r="A14" s="335" t="s">
        <v>278</v>
      </c>
      <c r="B14" s="299" t="str">
        <f t="shared" si="0"/>
        <v>Sanitary Sewer Gravity Main, Trenched, PVC, 8" dia.</v>
      </c>
      <c r="C14" s="300"/>
      <c r="D14" s="301" t="str">
        <f t="shared" si="1"/>
        <v>lf</v>
      </c>
      <c r="E14" s="302">
        <f t="shared" si="2"/>
        <v>73.5</v>
      </c>
      <c r="F14" s="303">
        <f t="shared" si="3"/>
        <v>578</v>
      </c>
      <c r="G14" s="336"/>
      <c r="H14" s="336">
        <v>263</v>
      </c>
      <c r="I14" s="305">
        <f t="shared" si="7"/>
        <v>315</v>
      </c>
      <c r="J14" s="306">
        <f t="shared" si="4"/>
        <v>42483</v>
      </c>
      <c r="K14" s="306">
        <f t="shared" si="5"/>
        <v>0</v>
      </c>
      <c r="L14" s="306">
        <f t="shared" si="6"/>
        <v>19330.5</v>
      </c>
      <c r="M14" s="306">
        <f t="shared" si="8"/>
        <v>23152.5</v>
      </c>
      <c r="N14" s="171">
        <v>5</v>
      </c>
      <c r="O14" s="238"/>
      <c r="P14" s="165"/>
      <c r="R14" s="306">
        <f>L14-'PAY EST 3'!L14</f>
        <v>0</v>
      </c>
    </row>
    <row r="15" spans="1:18">
      <c r="A15" s="335" t="s">
        <v>279</v>
      </c>
      <c r="B15" s="299" t="str">
        <f t="shared" si="0"/>
        <v>Sanitary Sewer Service Stub</v>
      </c>
      <c r="C15" s="300"/>
      <c r="D15" s="301" t="str">
        <f t="shared" si="1"/>
        <v>ea</v>
      </c>
      <c r="E15" s="302">
        <f t="shared" si="2"/>
        <v>2100</v>
      </c>
      <c r="F15" s="303">
        <f t="shared" si="3"/>
        <v>12</v>
      </c>
      <c r="G15" s="336"/>
      <c r="H15" s="336">
        <v>10</v>
      </c>
      <c r="I15" s="305">
        <f t="shared" si="7"/>
        <v>2</v>
      </c>
      <c r="J15" s="306">
        <f t="shared" si="4"/>
        <v>25200</v>
      </c>
      <c r="K15" s="306">
        <f t="shared" si="5"/>
        <v>0</v>
      </c>
      <c r="L15" s="306">
        <f t="shared" si="6"/>
        <v>21000</v>
      </c>
      <c r="M15" s="306">
        <f t="shared" si="8"/>
        <v>4200</v>
      </c>
      <c r="N15" s="171">
        <v>6</v>
      </c>
      <c r="O15" s="238"/>
      <c r="P15" s="165"/>
      <c r="R15" s="306">
        <f>L15-'PAY EST 3'!L15</f>
        <v>0</v>
      </c>
    </row>
    <row r="16" spans="1:18">
      <c r="A16" s="335" t="s">
        <v>280</v>
      </c>
      <c r="B16" s="299" t="str">
        <f t="shared" si="0"/>
        <v>Removal of Sanitary Sewer, any type or size</v>
      </c>
      <c r="C16" s="300"/>
      <c r="D16" s="301" t="str">
        <f t="shared" si="1"/>
        <v>lf</v>
      </c>
      <c r="E16" s="302">
        <f t="shared" si="2"/>
        <v>21</v>
      </c>
      <c r="F16" s="303">
        <f t="shared" si="3"/>
        <v>578</v>
      </c>
      <c r="G16" s="336"/>
      <c r="H16" s="336">
        <v>263</v>
      </c>
      <c r="I16" s="305">
        <f t="shared" si="7"/>
        <v>315</v>
      </c>
      <c r="J16" s="306">
        <f t="shared" si="4"/>
        <v>12138</v>
      </c>
      <c r="K16" s="306">
        <f t="shared" si="5"/>
        <v>0</v>
      </c>
      <c r="L16" s="306">
        <f t="shared" si="6"/>
        <v>5523</v>
      </c>
      <c r="M16" s="306">
        <f t="shared" si="8"/>
        <v>6615</v>
      </c>
      <c r="N16" s="171">
        <v>7</v>
      </c>
      <c r="O16" s="238"/>
      <c r="P16" s="165"/>
      <c r="R16" s="306">
        <f>L16-'PAY EST 3'!L16</f>
        <v>0</v>
      </c>
    </row>
    <row r="17" spans="1:18">
      <c r="A17" s="256" t="s">
        <v>281</v>
      </c>
      <c r="B17" s="23" t="str">
        <f t="shared" si="0"/>
        <v>Storm Sewer, Trenched, RCP, 15" dia.</v>
      </c>
      <c r="C17" s="137"/>
      <c r="D17" s="24" t="str">
        <f t="shared" si="1"/>
        <v>lf</v>
      </c>
      <c r="E17" s="231">
        <f t="shared" si="2"/>
        <v>73.5</v>
      </c>
      <c r="F17" s="225">
        <f t="shared" si="3"/>
        <v>526</v>
      </c>
      <c r="G17" s="226"/>
      <c r="H17" s="226">
        <v>474</v>
      </c>
      <c r="I17" s="167">
        <f t="shared" si="7"/>
        <v>52</v>
      </c>
      <c r="J17" s="162">
        <f t="shared" si="4"/>
        <v>38661</v>
      </c>
      <c r="K17" s="162">
        <f t="shared" si="5"/>
        <v>0</v>
      </c>
      <c r="L17" s="162">
        <f t="shared" si="6"/>
        <v>34839</v>
      </c>
      <c r="M17" s="162">
        <f t="shared" si="8"/>
        <v>3822</v>
      </c>
      <c r="N17" s="171">
        <v>8</v>
      </c>
      <c r="O17" s="238"/>
      <c r="P17" s="165"/>
      <c r="R17" s="162">
        <f>L17-'PAY EST 3'!L17</f>
        <v>4557</v>
      </c>
    </row>
    <row r="18" spans="1:18">
      <c r="A18" s="256" t="s">
        <v>282</v>
      </c>
      <c r="B18" s="23" t="str">
        <f t="shared" si="0"/>
        <v>Removal of Storm Sewer, any type or size</v>
      </c>
      <c r="C18" s="137"/>
      <c r="D18" s="24" t="str">
        <f t="shared" si="1"/>
        <v>lf</v>
      </c>
      <c r="E18" s="231">
        <f t="shared" si="2"/>
        <v>21</v>
      </c>
      <c r="F18" s="225">
        <f t="shared" si="3"/>
        <v>526</v>
      </c>
      <c r="G18" s="226"/>
      <c r="H18" s="226">
        <v>474</v>
      </c>
      <c r="I18" s="167">
        <f t="shared" si="7"/>
        <v>52</v>
      </c>
      <c r="J18" s="162">
        <f t="shared" si="4"/>
        <v>11046</v>
      </c>
      <c r="K18" s="162">
        <f t="shared" si="5"/>
        <v>0</v>
      </c>
      <c r="L18" s="162">
        <f t="shared" si="6"/>
        <v>9954</v>
      </c>
      <c r="M18" s="162">
        <f t="shared" si="8"/>
        <v>1092</v>
      </c>
      <c r="N18" s="172"/>
      <c r="O18" s="239" t="s">
        <v>10</v>
      </c>
      <c r="P18" s="165"/>
      <c r="R18" s="162">
        <f>L18-'PAY EST 3'!L18</f>
        <v>1302</v>
      </c>
    </row>
    <row r="19" spans="1:18">
      <c r="A19" s="256" t="s">
        <v>283</v>
      </c>
      <c r="B19" s="23" t="str">
        <f t="shared" si="0"/>
        <v>Footing Drain Collector and Fittings, PVC, 6" dia.</v>
      </c>
      <c r="C19" s="137"/>
      <c r="D19" s="24" t="str">
        <f t="shared" si="1"/>
        <v>lf</v>
      </c>
      <c r="E19" s="231">
        <f t="shared" si="2"/>
        <v>25.5</v>
      </c>
      <c r="F19" s="225">
        <f t="shared" si="3"/>
        <v>200</v>
      </c>
      <c r="G19" s="226"/>
      <c r="H19" s="226">
        <v>0</v>
      </c>
      <c r="I19" s="167">
        <f t="shared" si="7"/>
        <v>200</v>
      </c>
      <c r="J19" s="162">
        <f t="shared" si="4"/>
        <v>5100</v>
      </c>
      <c r="K19" s="162">
        <f t="shared" si="5"/>
        <v>0</v>
      </c>
      <c r="L19" s="162">
        <f t="shared" si="6"/>
        <v>0</v>
      </c>
      <c r="M19" s="162">
        <f t="shared" si="8"/>
        <v>5100</v>
      </c>
      <c r="N19" s="173"/>
      <c r="O19" s="240">
        <f>SUM(O10:O17)</f>
        <v>2100</v>
      </c>
      <c r="P19" s="165"/>
      <c r="R19" s="162">
        <f>L19-'PAY EST 3'!L19</f>
        <v>0</v>
      </c>
    </row>
    <row r="20" spans="1:18">
      <c r="A20" s="256" t="s">
        <v>285</v>
      </c>
      <c r="B20" s="23" t="str">
        <f t="shared" si="0"/>
        <v>Footing Drain Cleanout, PVC, 6" dia.</v>
      </c>
      <c r="C20" s="137"/>
      <c r="D20" s="24" t="str">
        <f t="shared" si="1"/>
        <v>ea</v>
      </c>
      <c r="E20" s="231">
        <f t="shared" si="2"/>
        <v>850</v>
      </c>
      <c r="F20" s="225">
        <f t="shared" si="3"/>
        <v>1</v>
      </c>
      <c r="G20" s="226"/>
      <c r="H20" s="226">
        <v>0</v>
      </c>
      <c r="I20" s="167">
        <f t="shared" si="7"/>
        <v>1</v>
      </c>
      <c r="J20" s="162">
        <f t="shared" si="4"/>
        <v>850</v>
      </c>
      <c r="K20" s="162">
        <f t="shared" si="5"/>
        <v>0</v>
      </c>
      <c r="L20" s="162">
        <f t="shared" si="6"/>
        <v>0</v>
      </c>
      <c r="M20" s="162">
        <f t="shared" si="8"/>
        <v>850</v>
      </c>
      <c r="N20" s="174"/>
      <c r="O20" s="241"/>
      <c r="P20" s="165"/>
      <c r="R20" s="162">
        <f>L20-'PAY EST 3'!L20</f>
        <v>0</v>
      </c>
    </row>
    <row r="21" spans="1:18">
      <c r="A21" s="256" t="s">
        <v>284</v>
      </c>
      <c r="B21" s="23" t="str">
        <f t="shared" si="0"/>
        <v>Storm Sewer Service Stub, PVC, 2" dia.</v>
      </c>
      <c r="C21" s="137"/>
      <c r="D21" s="24" t="str">
        <f t="shared" si="1"/>
        <v>ea</v>
      </c>
      <c r="E21" s="231">
        <f t="shared" si="2"/>
        <v>600</v>
      </c>
      <c r="F21" s="225">
        <f t="shared" si="3"/>
        <v>1</v>
      </c>
      <c r="G21" s="226"/>
      <c r="H21" s="226">
        <v>11</v>
      </c>
      <c r="I21" s="167">
        <f t="shared" si="7"/>
        <v>-10</v>
      </c>
      <c r="J21" s="162">
        <f t="shared" si="4"/>
        <v>600</v>
      </c>
      <c r="K21" s="162">
        <f t="shared" si="5"/>
        <v>0</v>
      </c>
      <c r="L21" s="162">
        <f t="shared" si="6"/>
        <v>6600</v>
      </c>
      <c r="M21" s="162">
        <f t="shared" si="8"/>
        <v>-6000</v>
      </c>
      <c r="N21" s="175" t="s">
        <v>54</v>
      </c>
      <c r="O21" s="242"/>
      <c r="P21" s="165"/>
      <c r="R21" s="162">
        <f>L21-'PAY EST 3'!L21</f>
        <v>2400</v>
      </c>
    </row>
    <row r="22" spans="1:18">
      <c r="A22" s="256" t="s">
        <v>291</v>
      </c>
      <c r="B22" s="23" t="str">
        <f>VLOOKUP($A22,BIDTAB,2,FALSE)</f>
        <v>Conection to Existing Structure</v>
      </c>
      <c r="C22" s="137"/>
      <c r="D22" s="24" t="str">
        <f>VLOOKUP($A22,BIDTAB,3,FALSE)</f>
        <v>EA</v>
      </c>
      <c r="E22" s="231">
        <f>VLOOKUP($A22,BIDTAB,7,FALSE)</f>
        <v>2100</v>
      </c>
      <c r="F22" s="225">
        <f>VLOOKUP($A22,BIDTAB,4,FALSE)</f>
        <v>1</v>
      </c>
      <c r="G22" s="227"/>
      <c r="H22" s="227">
        <v>1</v>
      </c>
      <c r="I22" s="167">
        <f>IF(ISBLANK(G22),F22,F22+G22)-H22</f>
        <v>0</v>
      </c>
      <c r="J22" s="162">
        <f>IF(ISERROR(F22*E22),0,F22*E22)</f>
        <v>2100</v>
      </c>
      <c r="K22" s="162">
        <f>IF(ISERROR(G22*E22),0,G22*E22)</f>
        <v>0</v>
      </c>
      <c r="L22" s="162">
        <f>IF(ISERROR(H22*E22),0,H22*E22)</f>
        <v>2100</v>
      </c>
      <c r="M22" s="162">
        <f>SUM(J22:K22)-L22</f>
        <v>0</v>
      </c>
      <c r="N22" s="180"/>
      <c r="P22" s="165"/>
      <c r="R22" s="162">
        <f>L22-'PAY EST 3'!L22</f>
        <v>0</v>
      </c>
    </row>
    <row r="23" spans="1:18">
      <c r="A23" s="256"/>
      <c r="B23" s="23" t="e">
        <f t="shared" si="0"/>
        <v>#N/A</v>
      </c>
      <c r="C23" s="137"/>
      <c r="D23" s="24" t="e">
        <f t="shared" si="1"/>
        <v>#N/A</v>
      </c>
      <c r="E23" s="231" t="e">
        <f t="shared" si="2"/>
        <v>#N/A</v>
      </c>
      <c r="F23" s="225" t="e">
        <f t="shared" si="3"/>
        <v>#N/A</v>
      </c>
      <c r="G23" s="226"/>
      <c r="H23" s="226"/>
      <c r="I23" s="167" t="e">
        <f t="shared" si="7"/>
        <v>#N/A</v>
      </c>
      <c r="J23" s="162">
        <f t="shared" si="4"/>
        <v>0</v>
      </c>
      <c r="K23" s="162">
        <f t="shared" si="5"/>
        <v>0</v>
      </c>
      <c r="L23" s="162">
        <f t="shared" si="6"/>
        <v>0</v>
      </c>
      <c r="M23" s="162">
        <f t="shared" si="8"/>
        <v>0</v>
      </c>
      <c r="N23" s="175" t="s">
        <v>55</v>
      </c>
      <c r="O23" s="242"/>
      <c r="P23" s="165"/>
      <c r="R23" s="162">
        <f>L23-'PAY EST 3'!L23</f>
        <v>0</v>
      </c>
    </row>
    <row r="24" spans="1:18">
      <c r="A24" s="288" t="s">
        <v>235</v>
      </c>
      <c r="B24" s="289" t="str">
        <f t="shared" si="0"/>
        <v>Water Main, Trenched, PVC, 8" dia.</v>
      </c>
      <c r="C24" s="290"/>
      <c r="D24" s="291" t="str">
        <f t="shared" si="1"/>
        <v>lf</v>
      </c>
      <c r="E24" s="292">
        <f t="shared" si="2"/>
        <v>42</v>
      </c>
      <c r="F24" s="293">
        <f t="shared" si="3"/>
        <v>65</v>
      </c>
      <c r="G24" s="294"/>
      <c r="H24" s="294">
        <v>70</v>
      </c>
      <c r="I24" s="295">
        <f t="shared" si="7"/>
        <v>-5</v>
      </c>
      <c r="J24" s="296">
        <f t="shared" si="4"/>
        <v>2730</v>
      </c>
      <c r="K24" s="296">
        <f t="shared" si="5"/>
        <v>0</v>
      </c>
      <c r="L24" s="296">
        <f t="shared" si="6"/>
        <v>2940</v>
      </c>
      <c r="M24" s="296">
        <f t="shared" si="8"/>
        <v>-210</v>
      </c>
      <c r="N24" s="174"/>
      <c r="O24" s="241"/>
      <c r="P24" s="165"/>
      <c r="R24" s="296">
        <f>L24-'PAY EST 3'!L24</f>
        <v>0</v>
      </c>
    </row>
    <row r="25" spans="1:18">
      <c r="A25" s="288" t="s">
        <v>236</v>
      </c>
      <c r="B25" s="289" t="str">
        <f t="shared" si="0"/>
        <v>Water Main, Trenched, DIP, 8" dia.</v>
      </c>
      <c r="C25" s="290"/>
      <c r="D25" s="291" t="str">
        <f t="shared" si="1"/>
        <v>lf</v>
      </c>
      <c r="E25" s="292">
        <f t="shared" si="2"/>
        <v>105</v>
      </c>
      <c r="F25" s="293">
        <f t="shared" si="3"/>
        <v>35</v>
      </c>
      <c r="G25" s="294"/>
      <c r="H25" s="294">
        <v>8</v>
      </c>
      <c r="I25" s="295">
        <f t="shared" si="7"/>
        <v>27</v>
      </c>
      <c r="J25" s="296">
        <f t="shared" si="4"/>
        <v>3675</v>
      </c>
      <c r="K25" s="296">
        <f t="shared" si="5"/>
        <v>0</v>
      </c>
      <c r="L25" s="296">
        <f t="shared" si="6"/>
        <v>840</v>
      </c>
      <c r="M25" s="296">
        <f t="shared" si="8"/>
        <v>2835</v>
      </c>
      <c r="N25" s="170">
        <v>1</v>
      </c>
      <c r="O25" s="237">
        <v>95553.900000000009</v>
      </c>
      <c r="P25" s="165"/>
      <c r="R25" s="296">
        <f>L25-'PAY EST 3'!L25</f>
        <v>0</v>
      </c>
    </row>
    <row r="26" spans="1:18">
      <c r="A26" s="288" t="s">
        <v>237</v>
      </c>
      <c r="B26" s="289" t="str">
        <f t="shared" si="0"/>
        <v>Water Main, Trenched, DIP, 6" dia.</v>
      </c>
      <c r="C26" s="290"/>
      <c r="D26" s="291" t="str">
        <f t="shared" si="1"/>
        <v>lf</v>
      </c>
      <c r="E26" s="292">
        <f t="shared" si="2"/>
        <v>105</v>
      </c>
      <c r="F26" s="293">
        <f t="shared" si="3"/>
        <v>24</v>
      </c>
      <c r="G26" s="294"/>
      <c r="H26" s="294">
        <v>32.5</v>
      </c>
      <c r="I26" s="295">
        <f t="shared" si="7"/>
        <v>-8.5</v>
      </c>
      <c r="J26" s="296">
        <f t="shared" si="4"/>
        <v>2520</v>
      </c>
      <c r="K26" s="296">
        <f t="shared" si="5"/>
        <v>0</v>
      </c>
      <c r="L26" s="296">
        <f t="shared" si="6"/>
        <v>3412.5</v>
      </c>
      <c r="M26" s="296">
        <f t="shared" si="8"/>
        <v>-892.5</v>
      </c>
      <c r="N26" s="171">
        <v>2</v>
      </c>
      <c r="O26" s="239">
        <v>267401.59999999998</v>
      </c>
      <c r="P26" s="165"/>
      <c r="R26" s="296">
        <f>L26-'PAY EST 3'!L26</f>
        <v>735</v>
      </c>
    </row>
    <row r="27" spans="1:18">
      <c r="A27" s="288" t="s">
        <v>238</v>
      </c>
      <c r="B27" s="289" t="str">
        <f t="shared" si="0"/>
        <v>Water Main, Trenchless, PVC, 8" dia.</v>
      </c>
      <c r="C27" s="290"/>
      <c r="D27" s="291" t="str">
        <f t="shared" si="1"/>
        <v>lf</v>
      </c>
      <c r="E27" s="292">
        <f t="shared" si="2"/>
        <v>136.5</v>
      </c>
      <c r="F27" s="293">
        <f t="shared" si="3"/>
        <v>1072</v>
      </c>
      <c r="G27" s="294"/>
      <c r="H27" s="294">
        <v>1160</v>
      </c>
      <c r="I27" s="295">
        <f t="shared" si="7"/>
        <v>-88</v>
      </c>
      <c r="J27" s="296">
        <f t="shared" si="4"/>
        <v>146328</v>
      </c>
      <c r="K27" s="296">
        <f t="shared" si="5"/>
        <v>0</v>
      </c>
      <c r="L27" s="296">
        <f t="shared" si="6"/>
        <v>158340</v>
      </c>
      <c r="M27" s="296">
        <f t="shared" si="8"/>
        <v>-12012</v>
      </c>
      <c r="N27" s="171">
        <v>3</v>
      </c>
      <c r="O27" s="238">
        <v>137425.00000000006</v>
      </c>
      <c r="P27" s="165"/>
      <c r="R27" s="296">
        <f>L27-'PAY EST 3'!L27</f>
        <v>0</v>
      </c>
    </row>
    <row r="28" spans="1:18">
      <c r="A28" s="288" t="s">
        <v>234</v>
      </c>
      <c r="B28" s="289" t="str">
        <f t="shared" si="0"/>
        <v>Water Main, Trenchless, DIP, 8" dia.</v>
      </c>
      <c r="C28" s="290"/>
      <c r="D28" s="291" t="str">
        <f t="shared" si="1"/>
        <v>lf</v>
      </c>
      <c r="E28" s="292">
        <f t="shared" si="2"/>
        <v>210</v>
      </c>
      <c r="F28" s="293">
        <f t="shared" si="3"/>
        <v>75</v>
      </c>
      <c r="G28" s="294"/>
      <c r="H28" s="294"/>
      <c r="I28" s="295">
        <f t="shared" si="7"/>
        <v>75</v>
      </c>
      <c r="J28" s="296">
        <f t="shared" si="4"/>
        <v>15750</v>
      </c>
      <c r="K28" s="296">
        <f t="shared" si="5"/>
        <v>0</v>
      </c>
      <c r="L28" s="296">
        <f t="shared" si="6"/>
        <v>0</v>
      </c>
      <c r="M28" s="296">
        <f t="shared" si="8"/>
        <v>15750</v>
      </c>
      <c r="N28" s="176">
        <v>4</v>
      </c>
      <c r="O28" s="243"/>
      <c r="P28" s="165"/>
      <c r="R28" s="296">
        <f>L28-'PAY EST 3'!L28</f>
        <v>0</v>
      </c>
    </row>
    <row r="29" spans="1:18">
      <c r="A29" s="288" t="s">
        <v>239</v>
      </c>
      <c r="B29" s="289" t="str">
        <f t="shared" si="0"/>
        <v>Fitting, 8"x6"x8"x6" Cross</v>
      </c>
      <c r="C29" s="290"/>
      <c r="D29" s="291" t="str">
        <f t="shared" si="1"/>
        <v>ea</v>
      </c>
      <c r="E29" s="292">
        <f t="shared" si="2"/>
        <v>1575</v>
      </c>
      <c r="F29" s="293">
        <f t="shared" si="3"/>
        <v>1</v>
      </c>
      <c r="G29" s="297"/>
      <c r="H29" s="297"/>
      <c r="I29" s="295">
        <f t="shared" si="7"/>
        <v>1</v>
      </c>
      <c r="J29" s="296">
        <f t="shared" si="4"/>
        <v>1575</v>
      </c>
      <c r="K29" s="296">
        <f t="shared" si="5"/>
        <v>0</v>
      </c>
      <c r="L29" s="296">
        <f t="shared" si="6"/>
        <v>0</v>
      </c>
      <c r="M29" s="296">
        <f t="shared" si="8"/>
        <v>1575</v>
      </c>
      <c r="N29" s="170">
        <v>5</v>
      </c>
      <c r="O29" s="243"/>
      <c r="P29" s="165"/>
      <c r="R29" s="296">
        <f>L29-'PAY EST 3'!L29</f>
        <v>0</v>
      </c>
    </row>
    <row r="30" spans="1:18">
      <c r="A30" s="288" t="s">
        <v>240</v>
      </c>
      <c r="B30" s="289" t="str">
        <f t="shared" si="0"/>
        <v>Fitting, 8"x6"x8" Tee</v>
      </c>
      <c r="C30" s="290"/>
      <c r="D30" s="291" t="str">
        <f t="shared" si="1"/>
        <v>ea</v>
      </c>
      <c r="E30" s="292">
        <f t="shared" si="2"/>
        <v>682.5</v>
      </c>
      <c r="F30" s="293">
        <f t="shared" si="3"/>
        <v>1</v>
      </c>
      <c r="G30" s="297"/>
      <c r="H30" s="297">
        <v>5</v>
      </c>
      <c r="I30" s="295">
        <f t="shared" si="7"/>
        <v>-4</v>
      </c>
      <c r="J30" s="296">
        <f t="shared" si="4"/>
        <v>682.5</v>
      </c>
      <c r="K30" s="296">
        <f t="shared" si="5"/>
        <v>0</v>
      </c>
      <c r="L30" s="296">
        <f t="shared" si="6"/>
        <v>3412.5</v>
      </c>
      <c r="M30" s="296">
        <f t="shared" si="8"/>
        <v>-2730</v>
      </c>
      <c r="N30" s="171">
        <v>6</v>
      </c>
      <c r="O30" s="244"/>
      <c r="P30" s="165"/>
      <c r="R30" s="296">
        <f>L30-'PAY EST 3'!L30</f>
        <v>0</v>
      </c>
    </row>
    <row r="31" spans="1:18">
      <c r="A31" s="288" t="s">
        <v>243</v>
      </c>
      <c r="B31" s="289" t="str">
        <f t="shared" si="0"/>
        <v>Fitting, 6"x6"x6" Tee</v>
      </c>
      <c r="C31" s="290"/>
      <c r="D31" s="291" t="str">
        <f t="shared" si="1"/>
        <v>ea</v>
      </c>
      <c r="E31" s="292">
        <f t="shared" si="2"/>
        <v>525</v>
      </c>
      <c r="F31" s="293">
        <f t="shared" si="3"/>
        <v>5</v>
      </c>
      <c r="G31" s="297"/>
      <c r="H31" s="297">
        <v>3</v>
      </c>
      <c r="I31" s="295">
        <f t="shared" si="7"/>
        <v>2</v>
      </c>
      <c r="J31" s="296">
        <f t="shared" si="4"/>
        <v>2625</v>
      </c>
      <c r="K31" s="296">
        <f t="shared" si="5"/>
        <v>0</v>
      </c>
      <c r="L31" s="296">
        <f t="shared" si="6"/>
        <v>1575</v>
      </c>
      <c r="M31" s="296">
        <f t="shared" si="8"/>
        <v>1050</v>
      </c>
      <c r="N31" s="177">
        <v>7</v>
      </c>
      <c r="O31" s="244"/>
      <c r="P31" s="165"/>
      <c r="R31" s="296">
        <f>L31-'PAY EST 3'!L31</f>
        <v>525</v>
      </c>
    </row>
    <row r="32" spans="1:18">
      <c r="A32" s="288" t="s">
        <v>241</v>
      </c>
      <c r="B32" s="289" t="str">
        <f t="shared" si="0"/>
        <v>Fitting, 45 deg Bend, 8" dia.</v>
      </c>
      <c r="C32" s="290"/>
      <c r="D32" s="291" t="str">
        <f t="shared" si="1"/>
        <v>ea</v>
      </c>
      <c r="E32" s="292">
        <f t="shared" si="2"/>
        <v>420</v>
      </c>
      <c r="F32" s="293">
        <f t="shared" si="3"/>
        <v>6</v>
      </c>
      <c r="G32" s="297"/>
      <c r="H32" s="297">
        <v>2</v>
      </c>
      <c r="I32" s="295">
        <f t="shared" si="7"/>
        <v>4</v>
      </c>
      <c r="J32" s="296">
        <f t="shared" si="4"/>
        <v>2520</v>
      </c>
      <c r="K32" s="296">
        <f t="shared" si="5"/>
        <v>0</v>
      </c>
      <c r="L32" s="296">
        <f t="shared" si="6"/>
        <v>840</v>
      </c>
      <c r="M32" s="296">
        <f t="shared" si="8"/>
        <v>1680</v>
      </c>
      <c r="N32" s="178"/>
      <c r="O32" s="245" t="s">
        <v>10</v>
      </c>
      <c r="P32" s="165"/>
      <c r="R32" s="296">
        <f>L32-'PAY EST 3'!L32</f>
        <v>0</v>
      </c>
    </row>
    <row r="33" spans="1:18">
      <c r="A33" s="288" t="s">
        <v>286</v>
      </c>
      <c r="B33" s="289" t="str">
        <f t="shared" si="0"/>
        <v>Fitting, 90 deg Bend, 6" dia.</v>
      </c>
      <c r="C33" s="290"/>
      <c r="D33" s="291" t="str">
        <f t="shared" si="1"/>
        <v>ea</v>
      </c>
      <c r="E33" s="292">
        <f t="shared" si="2"/>
        <v>420</v>
      </c>
      <c r="F33" s="293">
        <f t="shared" si="3"/>
        <v>1</v>
      </c>
      <c r="G33" s="297"/>
      <c r="H33" s="297">
        <v>6</v>
      </c>
      <c r="I33" s="295">
        <f t="shared" si="7"/>
        <v>-5</v>
      </c>
      <c r="J33" s="296">
        <f t="shared" si="4"/>
        <v>420</v>
      </c>
      <c r="K33" s="296">
        <f t="shared" si="5"/>
        <v>0</v>
      </c>
      <c r="L33" s="296">
        <f t="shared" si="6"/>
        <v>2520</v>
      </c>
      <c r="M33" s="296">
        <f t="shared" si="8"/>
        <v>-2100</v>
      </c>
      <c r="N33" s="179"/>
      <c r="O33" s="246">
        <f>SUM(O25:O31)</f>
        <v>500380.50000000006</v>
      </c>
      <c r="P33" s="165"/>
      <c r="R33" s="296">
        <f>L33-'PAY EST 3'!L33</f>
        <v>0</v>
      </c>
    </row>
    <row r="34" spans="1:18">
      <c r="A34" s="288" t="s">
        <v>242</v>
      </c>
      <c r="B34" s="289" t="str">
        <f t="shared" si="0"/>
        <v>Fitting, Pipe Cap, 8" dia</v>
      </c>
      <c r="C34" s="290"/>
      <c r="D34" s="291" t="str">
        <f t="shared" si="1"/>
        <v>ea</v>
      </c>
      <c r="E34" s="292">
        <f t="shared" si="2"/>
        <v>420</v>
      </c>
      <c r="F34" s="293">
        <f t="shared" si="3"/>
        <v>1</v>
      </c>
      <c r="G34" s="297"/>
      <c r="H34" s="297">
        <v>2</v>
      </c>
      <c r="I34" s="295">
        <f t="shared" si="7"/>
        <v>-1</v>
      </c>
      <c r="J34" s="296">
        <f t="shared" si="4"/>
        <v>420</v>
      </c>
      <c r="K34" s="296">
        <f t="shared" si="5"/>
        <v>0</v>
      </c>
      <c r="L34" s="296">
        <f t="shared" si="6"/>
        <v>840</v>
      </c>
      <c r="M34" s="296">
        <f t="shared" si="8"/>
        <v>-420</v>
      </c>
      <c r="N34" s="180"/>
      <c r="P34" s="165"/>
      <c r="R34" s="296">
        <f>L34-'PAY EST 3'!L34</f>
        <v>0</v>
      </c>
    </row>
    <row r="35" spans="1:18">
      <c r="A35" s="288" t="s">
        <v>289</v>
      </c>
      <c r="B35" s="289" t="str">
        <f t="shared" si="0"/>
        <v>Water Service Stub, Copper, 1" dia., Type 'A'</v>
      </c>
      <c r="C35" s="290"/>
      <c r="D35" s="291" t="str">
        <f t="shared" si="1"/>
        <v>ea</v>
      </c>
      <c r="E35" s="292">
        <f t="shared" si="2"/>
        <v>6300</v>
      </c>
      <c r="F35" s="293">
        <f t="shared" si="3"/>
        <v>0</v>
      </c>
      <c r="G35" s="297"/>
      <c r="H35" s="297"/>
      <c r="I35" s="295">
        <f t="shared" si="7"/>
        <v>0</v>
      </c>
      <c r="J35" s="296">
        <f t="shared" si="4"/>
        <v>0</v>
      </c>
      <c r="K35" s="296">
        <f t="shared" si="5"/>
        <v>0</v>
      </c>
      <c r="L35" s="296">
        <f t="shared" si="6"/>
        <v>0</v>
      </c>
      <c r="M35" s="296">
        <f t="shared" si="8"/>
        <v>0</v>
      </c>
      <c r="N35" s="180"/>
      <c r="P35" s="165"/>
      <c r="R35" s="296">
        <f>L35-'PAY EST 3'!L35</f>
        <v>0</v>
      </c>
    </row>
    <row r="36" spans="1:18">
      <c r="A36" s="288" t="s">
        <v>233</v>
      </c>
      <c r="B36" s="289" t="str">
        <f t="shared" si="0"/>
        <v>Water Service Stub, Copper, 1" dia., Type 'B'</v>
      </c>
      <c r="C36" s="290"/>
      <c r="D36" s="291" t="str">
        <f t="shared" si="1"/>
        <v>ea</v>
      </c>
      <c r="E36" s="292">
        <f t="shared" si="2"/>
        <v>5250</v>
      </c>
      <c r="F36" s="293">
        <f t="shared" si="3"/>
        <v>0</v>
      </c>
      <c r="G36" s="297"/>
      <c r="H36" s="297"/>
      <c r="I36" s="295">
        <f t="shared" si="7"/>
        <v>0</v>
      </c>
      <c r="J36" s="296">
        <f t="shared" si="4"/>
        <v>0</v>
      </c>
      <c r="K36" s="296">
        <f t="shared" si="5"/>
        <v>0</v>
      </c>
      <c r="L36" s="296">
        <f t="shared" si="6"/>
        <v>0</v>
      </c>
      <c r="M36" s="296">
        <f t="shared" si="8"/>
        <v>0</v>
      </c>
      <c r="N36" s="180"/>
      <c r="P36" s="165"/>
      <c r="R36" s="296">
        <f>L36-'PAY EST 3'!L36</f>
        <v>0</v>
      </c>
    </row>
    <row r="37" spans="1:18">
      <c r="A37" s="288" t="s">
        <v>232</v>
      </c>
      <c r="B37" s="289" t="str">
        <f t="shared" si="0"/>
        <v>Water Service Stub, Copper, 1" dia., Type 'C'</v>
      </c>
      <c r="C37" s="290"/>
      <c r="D37" s="291" t="str">
        <f t="shared" si="1"/>
        <v>ea</v>
      </c>
      <c r="E37" s="292">
        <f t="shared" si="2"/>
        <v>4200</v>
      </c>
      <c r="F37" s="293">
        <f t="shared" si="3"/>
        <v>15</v>
      </c>
      <c r="G37" s="297"/>
      <c r="H37" s="297">
        <v>17</v>
      </c>
      <c r="I37" s="295">
        <f t="shared" si="7"/>
        <v>-2</v>
      </c>
      <c r="J37" s="296">
        <f t="shared" si="4"/>
        <v>63000</v>
      </c>
      <c r="K37" s="296">
        <f t="shared" si="5"/>
        <v>0</v>
      </c>
      <c r="L37" s="296">
        <f t="shared" si="6"/>
        <v>71400</v>
      </c>
      <c r="M37" s="296">
        <f t="shared" si="8"/>
        <v>-8400</v>
      </c>
      <c r="N37" s="180"/>
      <c r="P37" s="165"/>
      <c r="R37" s="296">
        <f>L37-'PAY EST 3'!L37</f>
        <v>0</v>
      </c>
    </row>
    <row r="38" spans="1:18">
      <c r="A38" s="288" t="s">
        <v>244</v>
      </c>
      <c r="B38" s="289" t="str">
        <f t="shared" si="0"/>
        <v>Water Service Stub, Copper, 1" dia., Type 'D'</v>
      </c>
      <c r="C38" s="290"/>
      <c r="D38" s="291" t="str">
        <f t="shared" si="1"/>
        <v>ea</v>
      </c>
      <c r="E38" s="292">
        <f t="shared" si="2"/>
        <v>3150</v>
      </c>
      <c r="F38" s="293">
        <f t="shared" si="3"/>
        <v>15</v>
      </c>
      <c r="G38" s="297"/>
      <c r="H38" s="297">
        <v>17</v>
      </c>
      <c r="I38" s="295">
        <f t="shared" si="7"/>
        <v>-2</v>
      </c>
      <c r="J38" s="296">
        <f t="shared" si="4"/>
        <v>47250</v>
      </c>
      <c r="K38" s="296">
        <f t="shared" si="5"/>
        <v>0</v>
      </c>
      <c r="L38" s="296">
        <f t="shared" si="6"/>
        <v>53550</v>
      </c>
      <c r="M38" s="296">
        <f t="shared" si="8"/>
        <v>-6300</v>
      </c>
      <c r="N38" s="180"/>
      <c r="P38" s="165"/>
      <c r="R38" s="296">
        <f>L38-'PAY EST 3'!L38</f>
        <v>0</v>
      </c>
    </row>
    <row r="39" spans="1:18">
      <c r="A39" s="288" t="s">
        <v>245</v>
      </c>
      <c r="B39" s="289" t="str">
        <f t="shared" si="0"/>
        <v>Valve, Gate, 8" dia.</v>
      </c>
      <c r="C39" s="290"/>
      <c r="D39" s="291" t="str">
        <f t="shared" si="1"/>
        <v>ea</v>
      </c>
      <c r="E39" s="292">
        <f t="shared" si="2"/>
        <v>1890</v>
      </c>
      <c r="F39" s="293">
        <f t="shared" si="3"/>
        <v>4</v>
      </c>
      <c r="G39" s="297"/>
      <c r="H39" s="297">
        <v>5</v>
      </c>
      <c r="I39" s="295">
        <f t="shared" si="7"/>
        <v>-1</v>
      </c>
      <c r="J39" s="296">
        <f t="shared" si="4"/>
        <v>7560</v>
      </c>
      <c r="K39" s="296">
        <f t="shared" si="5"/>
        <v>0</v>
      </c>
      <c r="L39" s="296">
        <f t="shared" si="6"/>
        <v>9450</v>
      </c>
      <c r="M39" s="296">
        <f t="shared" si="8"/>
        <v>-1890</v>
      </c>
      <c r="N39" s="180"/>
      <c r="P39" s="165"/>
      <c r="R39" s="296">
        <f>L39-'PAY EST 3'!L39</f>
        <v>0</v>
      </c>
    </row>
    <row r="40" spans="1:18">
      <c r="A40" s="288" t="s">
        <v>231</v>
      </c>
      <c r="B40" s="289" t="str">
        <f t="shared" si="0"/>
        <v>Valve, Gate, 6" dia.</v>
      </c>
      <c r="C40" s="290"/>
      <c r="D40" s="291" t="str">
        <f t="shared" si="1"/>
        <v>ea</v>
      </c>
      <c r="E40" s="292">
        <f t="shared" si="2"/>
        <v>1575</v>
      </c>
      <c r="F40" s="293">
        <f t="shared" si="3"/>
        <v>2</v>
      </c>
      <c r="G40" s="297"/>
      <c r="H40" s="297">
        <v>1</v>
      </c>
      <c r="I40" s="295">
        <f t="shared" si="7"/>
        <v>1</v>
      </c>
      <c r="J40" s="296">
        <f t="shared" si="4"/>
        <v>3150</v>
      </c>
      <c r="K40" s="296">
        <f t="shared" si="5"/>
        <v>0</v>
      </c>
      <c r="L40" s="296">
        <f t="shared" si="6"/>
        <v>1575</v>
      </c>
      <c r="M40" s="296">
        <f t="shared" si="8"/>
        <v>1575</v>
      </c>
      <c r="N40" s="180"/>
      <c r="P40" s="165"/>
      <c r="R40" s="296">
        <f>L40-'PAY EST 3'!L40</f>
        <v>0</v>
      </c>
    </row>
    <row r="41" spans="1:18">
      <c r="A41" s="288" t="s">
        <v>246</v>
      </c>
      <c r="B41" s="289" t="str">
        <f t="shared" si="0"/>
        <v>Fire Hydrant Assembly, 6" barrel</v>
      </c>
      <c r="C41" s="290"/>
      <c r="D41" s="291" t="str">
        <f t="shared" si="1"/>
        <v>ea</v>
      </c>
      <c r="E41" s="292">
        <f t="shared" si="2"/>
        <v>8400</v>
      </c>
      <c r="F41" s="293">
        <f t="shared" si="3"/>
        <v>5</v>
      </c>
      <c r="G41" s="297"/>
      <c r="H41" s="297">
        <v>5</v>
      </c>
      <c r="I41" s="295">
        <f t="shared" si="7"/>
        <v>0</v>
      </c>
      <c r="J41" s="296">
        <f t="shared" si="4"/>
        <v>42000</v>
      </c>
      <c r="K41" s="296">
        <f t="shared" si="5"/>
        <v>0</v>
      </c>
      <c r="L41" s="296">
        <f t="shared" si="6"/>
        <v>42000</v>
      </c>
      <c r="M41" s="296">
        <f t="shared" si="8"/>
        <v>0</v>
      </c>
      <c r="N41" s="180"/>
      <c r="P41" s="165"/>
      <c r="R41" s="296">
        <f>L41-'PAY EST 3'!L41</f>
        <v>8400</v>
      </c>
    </row>
    <row r="42" spans="1:18">
      <c r="A42" s="288" t="s">
        <v>247</v>
      </c>
      <c r="B42" s="289" t="str">
        <f t="shared" si="0"/>
        <v>Valve Box Replacment/Adjustment</v>
      </c>
      <c r="C42" s="290"/>
      <c r="D42" s="291" t="str">
        <f t="shared" si="1"/>
        <v>ea</v>
      </c>
      <c r="E42" s="292">
        <f t="shared" si="2"/>
        <v>650</v>
      </c>
      <c r="F42" s="293">
        <f t="shared" si="3"/>
        <v>10</v>
      </c>
      <c r="G42" s="297"/>
      <c r="H42" s="297">
        <v>0</v>
      </c>
      <c r="I42" s="295">
        <f t="shared" si="7"/>
        <v>10</v>
      </c>
      <c r="J42" s="296">
        <f t="shared" si="4"/>
        <v>6500</v>
      </c>
      <c r="K42" s="296">
        <f t="shared" si="5"/>
        <v>0</v>
      </c>
      <c r="L42" s="296">
        <f t="shared" si="6"/>
        <v>0</v>
      </c>
      <c r="M42" s="296">
        <f t="shared" si="8"/>
        <v>6500</v>
      </c>
      <c r="N42" s="180"/>
      <c r="P42" s="165"/>
      <c r="R42" s="296">
        <f>L42-'PAY EST 3'!L42</f>
        <v>0</v>
      </c>
    </row>
    <row r="43" spans="1:18">
      <c r="A43" s="288" t="s">
        <v>230</v>
      </c>
      <c r="B43" s="298" t="str">
        <f t="shared" si="0"/>
        <v>Fire Hydrant Assembly Removal</v>
      </c>
      <c r="C43" s="289"/>
      <c r="D43" s="291" t="str">
        <f t="shared" si="1"/>
        <v>ea</v>
      </c>
      <c r="E43" s="292">
        <f t="shared" si="2"/>
        <v>1050</v>
      </c>
      <c r="F43" s="293">
        <f t="shared" si="3"/>
        <v>4</v>
      </c>
      <c r="G43" s="297"/>
      <c r="H43" s="297">
        <v>2</v>
      </c>
      <c r="I43" s="295">
        <f t="shared" si="7"/>
        <v>2</v>
      </c>
      <c r="J43" s="296">
        <f t="shared" si="4"/>
        <v>4200</v>
      </c>
      <c r="K43" s="296">
        <f t="shared" si="5"/>
        <v>0</v>
      </c>
      <c r="L43" s="296">
        <f t="shared" si="6"/>
        <v>2100</v>
      </c>
      <c r="M43" s="296">
        <f t="shared" si="8"/>
        <v>2100</v>
      </c>
      <c r="N43" s="180"/>
      <c r="P43" s="165"/>
      <c r="R43" s="296">
        <f>L43-'PAY EST 3'!L43</f>
        <v>0</v>
      </c>
    </row>
    <row r="44" spans="1:18">
      <c r="A44" s="288" t="s">
        <v>248</v>
      </c>
      <c r="B44" s="289" t="str">
        <f t="shared" si="0"/>
        <v>Valve Removal</v>
      </c>
      <c r="C44" s="290"/>
      <c r="D44" s="291" t="str">
        <f t="shared" si="1"/>
        <v>ea</v>
      </c>
      <c r="E44" s="292">
        <f t="shared" si="2"/>
        <v>525</v>
      </c>
      <c r="F44" s="293">
        <f t="shared" si="3"/>
        <v>2</v>
      </c>
      <c r="G44" s="297"/>
      <c r="H44" s="297">
        <v>4</v>
      </c>
      <c r="I44" s="295">
        <f t="shared" si="7"/>
        <v>-2</v>
      </c>
      <c r="J44" s="296">
        <f t="shared" si="4"/>
        <v>1050</v>
      </c>
      <c r="K44" s="296">
        <f t="shared" si="5"/>
        <v>0</v>
      </c>
      <c r="L44" s="296">
        <f t="shared" si="6"/>
        <v>2100</v>
      </c>
      <c r="M44" s="296">
        <f t="shared" si="8"/>
        <v>-1050</v>
      </c>
      <c r="N44" s="180"/>
      <c r="P44" s="165"/>
      <c r="R44" s="296">
        <f>L44-'PAY EST 3'!L44</f>
        <v>0</v>
      </c>
    </row>
    <row r="45" spans="1:18">
      <c r="A45" s="288" t="s">
        <v>249</v>
      </c>
      <c r="B45" s="289" t="str">
        <f t="shared" si="0"/>
        <v>Abandon Main, any size</v>
      </c>
      <c r="C45" s="290"/>
      <c r="D45" s="291" t="str">
        <f t="shared" si="1"/>
        <v>ea</v>
      </c>
      <c r="E45" s="292">
        <f t="shared" si="2"/>
        <v>525</v>
      </c>
      <c r="F45" s="293">
        <f t="shared" si="3"/>
        <v>12</v>
      </c>
      <c r="G45" s="297"/>
      <c r="H45" s="297">
        <v>4</v>
      </c>
      <c r="I45" s="295">
        <f t="shared" si="7"/>
        <v>8</v>
      </c>
      <c r="J45" s="296">
        <f t="shared" si="4"/>
        <v>6300</v>
      </c>
      <c r="K45" s="296">
        <f t="shared" si="5"/>
        <v>0</v>
      </c>
      <c r="L45" s="296">
        <f t="shared" si="6"/>
        <v>2100</v>
      </c>
      <c r="M45" s="296">
        <f t="shared" si="8"/>
        <v>4200</v>
      </c>
      <c r="N45" s="180"/>
      <c r="P45" s="165"/>
      <c r="R45" s="296">
        <f>L45-'PAY EST 3'!L45</f>
        <v>0</v>
      </c>
    </row>
    <row r="46" spans="1:18">
      <c r="A46" s="256"/>
      <c r="B46" s="23" t="e">
        <f t="shared" si="0"/>
        <v>#N/A</v>
      </c>
      <c r="C46" s="137"/>
      <c r="D46" s="24" t="e">
        <f t="shared" si="1"/>
        <v>#N/A</v>
      </c>
      <c r="E46" s="231" t="e">
        <f t="shared" si="2"/>
        <v>#N/A</v>
      </c>
      <c r="F46" s="225" t="e">
        <f t="shared" si="3"/>
        <v>#N/A</v>
      </c>
      <c r="G46" s="227"/>
      <c r="H46" s="227"/>
      <c r="I46" s="167" t="e">
        <f t="shared" si="7"/>
        <v>#N/A</v>
      </c>
      <c r="J46" s="162">
        <f t="shared" si="4"/>
        <v>0</v>
      </c>
      <c r="K46" s="162">
        <f t="shared" si="5"/>
        <v>0</v>
      </c>
      <c r="L46" s="162">
        <f t="shared" si="6"/>
        <v>0</v>
      </c>
      <c r="M46" s="162">
        <f t="shared" si="8"/>
        <v>0</v>
      </c>
      <c r="N46" s="180"/>
      <c r="P46" s="165"/>
      <c r="R46" s="162">
        <f>L46-'PAY EST 3'!L46</f>
        <v>0</v>
      </c>
    </row>
    <row r="47" spans="1:18">
      <c r="A47" s="287" t="s">
        <v>250</v>
      </c>
      <c r="B47" s="299" t="str">
        <f t="shared" si="0"/>
        <v>Manhole, Sanitary, Type SW-301, 48" dia.</v>
      </c>
      <c r="C47" s="300"/>
      <c r="D47" s="301" t="str">
        <f t="shared" si="1"/>
        <v>ea</v>
      </c>
      <c r="E47" s="302">
        <f t="shared" si="2"/>
        <v>9342.7000000000007</v>
      </c>
      <c r="F47" s="303">
        <f t="shared" si="3"/>
        <v>8</v>
      </c>
      <c r="G47" s="304"/>
      <c r="H47" s="304">
        <v>4</v>
      </c>
      <c r="I47" s="305">
        <f t="shared" si="7"/>
        <v>4</v>
      </c>
      <c r="J47" s="306">
        <f t="shared" si="4"/>
        <v>74741.600000000006</v>
      </c>
      <c r="K47" s="306">
        <f t="shared" si="5"/>
        <v>0</v>
      </c>
      <c r="L47" s="306">
        <f t="shared" si="6"/>
        <v>37370.800000000003</v>
      </c>
      <c r="M47" s="306">
        <f t="shared" si="8"/>
        <v>37370.800000000003</v>
      </c>
      <c r="N47" s="180"/>
      <c r="P47" s="165"/>
      <c r="R47" s="306">
        <f>L47-'PAY EST 3'!L47</f>
        <v>0</v>
      </c>
    </row>
    <row r="48" spans="1:18">
      <c r="A48" s="251" t="s">
        <v>252</v>
      </c>
      <c r="B48" s="23" t="str">
        <f t="shared" si="0"/>
        <v>Manhole, Storm, Type SW-401, 48" dia.</v>
      </c>
      <c r="C48" s="137"/>
      <c r="D48" s="24" t="str">
        <f t="shared" si="1"/>
        <v>ea</v>
      </c>
      <c r="E48" s="231">
        <f t="shared" si="2"/>
        <v>9532.36</v>
      </c>
      <c r="F48" s="225">
        <f t="shared" si="3"/>
        <v>1</v>
      </c>
      <c r="G48" s="227"/>
      <c r="H48" s="227">
        <v>0</v>
      </c>
      <c r="I48" s="167">
        <f t="shared" si="7"/>
        <v>1</v>
      </c>
      <c r="J48" s="162">
        <f t="shared" si="4"/>
        <v>9532.36</v>
      </c>
      <c r="K48" s="162">
        <f t="shared" si="5"/>
        <v>0</v>
      </c>
      <c r="L48" s="162">
        <f t="shared" si="6"/>
        <v>0</v>
      </c>
      <c r="M48" s="162">
        <f t="shared" si="8"/>
        <v>9532.36</v>
      </c>
      <c r="N48" s="180"/>
      <c r="P48" s="165"/>
      <c r="R48" s="162">
        <f>L48-'PAY EST 3'!L48</f>
        <v>0</v>
      </c>
    </row>
    <row r="49" spans="1:18">
      <c r="A49" s="251" t="s">
        <v>251</v>
      </c>
      <c r="B49" s="23" t="str">
        <f t="shared" si="0"/>
        <v>Intake Type SW-501</v>
      </c>
      <c r="C49" s="137"/>
      <c r="D49" s="24" t="str">
        <f t="shared" si="1"/>
        <v>ea</v>
      </c>
      <c r="E49" s="231">
        <f t="shared" si="2"/>
        <v>3535.16</v>
      </c>
      <c r="F49" s="225">
        <f t="shared" si="3"/>
        <v>7</v>
      </c>
      <c r="G49" s="227"/>
      <c r="H49" s="227">
        <v>4</v>
      </c>
      <c r="I49" s="167">
        <f t="shared" si="7"/>
        <v>3</v>
      </c>
      <c r="J49" s="162">
        <f t="shared" si="4"/>
        <v>24746.12</v>
      </c>
      <c r="K49" s="162">
        <f t="shared" si="5"/>
        <v>0</v>
      </c>
      <c r="L49" s="162">
        <f t="shared" si="6"/>
        <v>14140.64</v>
      </c>
      <c r="M49" s="162">
        <f t="shared" si="8"/>
        <v>10605.48</v>
      </c>
      <c r="N49" s="180"/>
      <c r="P49" s="165"/>
      <c r="R49" s="162">
        <f>L49-'PAY EST 3'!L49</f>
        <v>7070.32</v>
      </c>
    </row>
    <row r="50" spans="1:18">
      <c r="A50" s="283" t="s">
        <v>290</v>
      </c>
      <c r="B50" s="23" t="str">
        <f t="shared" si="0"/>
        <v>Intake Type SW-503</v>
      </c>
      <c r="C50" s="137"/>
      <c r="D50" s="24" t="str">
        <f t="shared" si="1"/>
        <v>ea</v>
      </c>
      <c r="E50" s="231">
        <f t="shared" si="2"/>
        <v>7274.85</v>
      </c>
      <c r="F50" s="225">
        <f t="shared" si="3"/>
        <v>2</v>
      </c>
      <c r="G50" s="227"/>
      <c r="H50" s="227">
        <v>2</v>
      </c>
      <c r="I50" s="167">
        <f t="shared" si="7"/>
        <v>0</v>
      </c>
      <c r="J50" s="162">
        <f t="shared" si="4"/>
        <v>14549.7</v>
      </c>
      <c r="K50" s="162">
        <f t="shared" si="5"/>
        <v>0</v>
      </c>
      <c r="L50" s="162">
        <f t="shared" si="6"/>
        <v>14549.7</v>
      </c>
      <c r="M50" s="162">
        <f t="shared" si="8"/>
        <v>0</v>
      </c>
      <c r="N50" s="180"/>
      <c r="P50" s="165"/>
      <c r="R50" s="162">
        <f>L50-'PAY EST 3'!L50</f>
        <v>14549.7</v>
      </c>
    </row>
    <row r="51" spans="1:18">
      <c r="A51" s="287" t="s">
        <v>253</v>
      </c>
      <c r="B51" s="307" t="str">
        <f t="shared" si="0"/>
        <v>Manhole Adjustment, Sanitary Sewer, Minor</v>
      </c>
      <c r="C51" s="299"/>
      <c r="D51" s="301" t="str">
        <f t="shared" si="1"/>
        <v>ea</v>
      </c>
      <c r="E51" s="302">
        <f t="shared" si="2"/>
        <v>2200</v>
      </c>
      <c r="F51" s="303">
        <f t="shared" si="3"/>
        <v>1</v>
      </c>
      <c r="G51" s="304"/>
      <c r="H51" s="304">
        <v>0</v>
      </c>
      <c r="I51" s="305">
        <f t="shared" si="7"/>
        <v>1</v>
      </c>
      <c r="J51" s="306">
        <f t="shared" si="4"/>
        <v>2200</v>
      </c>
      <c r="K51" s="306">
        <f t="shared" si="5"/>
        <v>0</v>
      </c>
      <c r="L51" s="306">
        <f t="shared" si="6"/>
        <v>0</v>
      </c>
      <c r="M51" s="306">
        <f t="shared" si="8"/>
        <v>2200</v>
      </c>
      <c r="N51" s="180"/>
      <c r="P51" s="165"/>
      <c r="R51" s="306">
        <f>L51-'PAY EST 3'!L51</f>
        <v>0</v>
      </c>
    </row>
    <row r="52" spans="1:18">
      <c r="A52" s="287" t="s">
        <v>254</v>
      </c>
      <c r="B52" s="299" t="str">
        <f t="shared" si="0"/>
        <v>Manhole Adjustment, Sanitary Sewer, Major</v>
      </c>
      <c r="C52" s="300"/>
      <c r="D52" s="301" t="str">
        <f t="shared" si="1"/>
        <v>ea</v>
      </c>
      <c r="E52" s="302">
        <f t="shared" si="2"/>
        <v>5250</v>
      </c>
      <c r="F52" s="303">
        <f t="shared" si="3"/>
        <v>1</v>
      </c>
      <c r="G52" s="304"/>
      <c r="H52" s="304">
        <v>1</v>
      </c>
      <c r="I52" s="305">
        <f t="shared" si="7"/>
        <v>0</v>
      </c>
      <c r="J52" s="306">
        <f t="shared" si="4"/>
        <v>5250</v>
      </c>
      <c r="K52" s="306">
        <f t="shared" si="5"/>
        <v>0</v>
      </c>
      <c r="L52" s="306">
        <f t="shared" si="6"/>
        <v>5250</v>
      </c>
      <c r="M52" s="306">
        <f t="shared" si="8"/>
        <v>0</v>
      </c>
      <c r="N52" s="180"/>
      <c r="P52" s="165"/>
      <c r="R52" s="306">
        <f>L52-'PAY EST 3'!L52</f>
        <v>5250</v>
      </c>
    </row>
    <row r="53" spans="1:18">
      <c r="A53" s="326" t="s">
        <v>256</v>
      </c>
      <c r="B53" s="327" t="str">
        <f t="shared" si="0"/>
        <v>Intake Adjustment, Minor</v>
      </c>
      <c r="C53" s="328"/>
      <c r="D53" s="329" t="str">
        <f t="shared" si="1"/>
        <v>ea</v>
      </c>
      <c r="E53" s="330">
        <f t="shared" si="2"/>
        <v>1236.5</v>
      </c>
      <c r="F53" s="331">
        <f t="shared" si="3"/>
        <v>3</v>
      </c>
      <c r="G53" s="332"/>
      <c r="H53" s="332">
        <v>0</v>
      </c>
      <c r="I53" s="333">
        <f t="shared" si="7"/>
        <v>3</v>
      </c>
      <c r="J53" s="334">
        <f t="shared" si="4"/>
        <v>3709.5</v>
      </c>
      <c r="K53" s="334">
        <f t="shared" si="5"/>
        <v>0</v>
      </c>
      <c r="L53" s="334">
        <f t="shared" si="6"/>
        <v>0</v>
      </c>
      <c r="M53" s="334">
        <f t="shared" si="8"/>
        <v>3709.5</v>
      </c>
      <c r="N53" s="180"/>
      <c r="P53" s="165"/>
      <c r="R53" s="334">
        <f>L53-'PAY EST 3'!L53</f>
        <v>0</v>
      </c>
    </row>
    <row r="54" spans="1:18">
      <c r="A54" s="287" t="s">
        <v>255</v>
      </c>
      <c r="B54" s="299" t="str">
        <f t="shared" si="0"/>
        <v>Remove Manhole, Sanitary Sewer</v>
      </c>
      <c r="C54" s="300"/>
      <c r="D54" s="301" t="str">
        <f t="shared" si="1"/>
        <v>ea</v>
      </c>
      <c r="E54" s="302">
        <f t="shared" si="2"/>
        <v>1050</v>
      </c>
      <c r="F54" s="303">
        <f t="shared" si="3"/>
        <v>9</v>
      </c>
      <c r="G54" s="304"/>
      <c r="H54" s="304">
        <v>4</v>
      </c>
      <c r="I54" s="305">
        <f t="shared" si="7"/>
        <v>5</v>
      </c>
      <c r="J54" s="306">
        <f t="shared" si="4"/>
        <v>9450</v>
      </c>
      <c r="K54" s="306">
        <f t="shared" si="5"/>
        <v>0</v>
      </c>
      <c r="L54" s="306">
        <f t="shared" si="6"/>
        <v>4200</v>
      </c>
      <c r="M54" s="306">
        <f t="shared" si="8"/>
        <v>5250</v>
      </c>
      <c r="N54" s="180"/>
      <c r="P54" s="165"/>
      <c r="R54" s="306">
        <f>L54-'PAY EST 3'!L54</f>
        <v>0</v>
      </c>
    </row>
    <row r="55" spans="1:18">
      <c r="A55" s="251" t="s">
        <v>257</v>
      </c>
      <c r="B55" s="23" t="str">
        <f t="shared" si="0"/>
        <v>Remove Manhole, Storm Sewer</v>
      </c>
      <c r="C55" s="137"/>
      <c r="D55" s="24" t="str">
        <f t="shared" si="1"/>
        <v>ea</v>
      </c>
      <c r="E55" s="231">
        <f t="shared" si="2"/>
        <v>1050</v>
      </c>
      <c r="F55" s="225">
        <f t="shared" si="3"/>
        <v>1</v>
      </c>
      <c r="G55" s="227"/>
      <c r="H55" s="227">
        <v>0</v>
      </c>
      <c r="I55" s="167">
        <f t="shared" si="7"/>
        <v>1</v>
      </c>
      <c r="J55" s="162">
        <f t="shared" si="4"/>
        <v>1050</v>
      </c>
      <c r="K55" s="162">
        <f t="shared" si="5"/>
        <v>0</v>
      </c>
      <c r="L55" s="162">
        <f t="shared" si="6"/>
        <v>0</v>
      </c>
      <c r="M55" s="162">
        <f t="shared" si="8"/>
        <v>1050</v>
      </c>
      <c r="N55" s="180"/>
      <c r="P55" s="165"/>
      <c r="R55" s="162">
        <f>L55-'PAY EST 3'!L55</f>
        <v>0</v>
      </c>
    </row>
    <row r="56" spans="1:18">
      <c r="A56" s="251" t="s">
        <v>287</v>
      </c>
      <c r="B56" s="23" t="str">
        <f t="shared" si="0"/>
        <v>Remove Intake</v>
      </c>
      <c r="C56" s="137"/>
      <c r="D56" s="24" t="str">
        <f t="shared" si="1"/>
        <v>ea</v>
      </c>
      <c r="E56" s="231">
        <f t="shared" si="2"/>
        <v>1050</v>
      </c>
      <c r="F56" s="225">
        <f t="shared" si="3"/>
        <v>9</v>
      </c>
      <c r="G56" s="227"/>
      <c r="H56" s="227">
        <v>6</v>
      </c>
      <c r="I56" s="167">
        <f t="shared" si="7"/>
        <v>3</v>
      </c>
      <c r="J56" s="162">
        <f t="shared" si="4"/>
        <v>9450</v>
      </c>
      <c r="K56" s="162">
        <f t="shared" si="5"/>
        <v>0</v>
      </c>
      <c r="L56" s="162">
        <f t="shared" si="6"/>
        <v>6300</v>
      </c>
      <c r="M56" s="162">
        <f t="shared" si="8"/>
        <v>3150</v>
      </c>
      <c r="N56" s="180"/>
      <c r="P56" s="165"/>
      <c r="R56" s="162">
        <f>L56-'PAY EST 3'!L56</f>
        <v>4200</v>
      </c>
    </row>
    <row r="57" spans="1:18">
      <c r="A57" s="256"/>
      <c r="B57" s="23" t="e">
        <f t="shared" si="0"/>
        <v>#N/A</v>
      </c>
      <c r="C57" s="137"/>
      <c r="D57" s="24" t="e">
        <f t="shared" si="1"/>
        <v>#N/A</v>
      </c>
      <c r="E57" s="231" t="e">
        <f t="shared" si="2"/>
        <v>#N/A</v>
      </c>
      <c r="F57" s="225" t="e">
        <f t="shared" si="3"/>
        <v>#N/A</v>
      </c>
      <c r="G57" s="227"/>
      <c r="H57" s="227"/>
      <c r="I57" s="167" t="e">
        <f t="shared" si="7"/>
        <v>#N/A</v>
      </c>
      <c r="J57" s="162">
        <f t="shared" si="4"/>
        <v>0</v>
      </c>
      <c r="K57" s="162">
        <f t="shared" si="5"/>
        <v>0</v>
      </c>
      <c r="L57" s="162">
        <f t="shared" si="6"/>
        <v>0</v>
      </c>
      <c r="M57" s="162">
        <f t="shared" si="8"/>
        <v>0</v>
      </c>
      <c r="N57" s="180"/>
      <c r="P57" s="165"/>
      <c r="R57" s="162">
        <f>L57-'PAY EST 3'!L57</f>
        <v>0</v>
      </c>
    </row>
    <row r="58" spans="1:18">
      <c r="A58" s="316" t="s">
        <v>258</v>
      </c>
      <c r="B58" s="325" t="str">
        <f t="shared" si="0"/>
        <v>Curb &amp; Gutter, 30" width, 12" thickness</v>
      </c>
      <c r="C58" s="337"/>
      <c r="D58" s="338" t="str">
        <f t="shared" si="1"/>
        <v>lf</v>
      </c>
      <c r="E58" s="339">
        <f t="shared" si="2"/>
        <v>35</v>
      </c>
      <c r="F58" s="340">
        <f t="shared" si="3"/>
        <v>5300</v>
      </c>
      <c r="G58" s="341"/>
      <c r="H58" s="341">
        <v>2301</v>
      </c>
      <c r="I58" s="342">
        <f t="shared" si="7"/>
        <v>2999</v>
      </c>
      <c r="J58" s="343">
        <f t="shared" si="4"/>
        <v>185500</v>
      </c>
      <c r="K58" s="343">
        <f t="shared" si="5"/>
        <v>0</v>
      </c>
      <c r="L58" s="343">
        <f t="shared" si="6"/>
        <v>80535</v>
      </c>
      <c r="M58" s="343">
        <f t="shared" si="8"/>
        <v>104965</v>
      </c>
      <c r="N58" s="180"/>
      <c r="P58" s="165"/>
      <c r="R58" s="343">
        <f>L58-'PAY EST 3'!L58</f>
        <v>80535</v>
      </c>
    </row>
    <row r="59" spans="1:18">
      <c r="A59" s="251" t="s">
        <v>259</v>
      </c>
      <c r="B59" s="23" t="str">
        <f t="shared" si="0"/>
        <v>Pavement, HMA, Base, 5" depth</v>
      </c>
      <c r="C59" s="137"/>
      <c r="D59" s="24" t="str">
        <f t="shared" si="1"/>
        <v>ton</v>
      </c>
      <c r="E59" s="231">
        <f t="shared" si="2"/>
        <v>103</v>
      </c>
      <c r="F59" s="225">
        <f t="shared" si="3"/>
        <v>2844.8</v>
      </c>
      <c r="G59" s="227"/>
      <c r="H59" s="227">
        <v>777.82</v>
      </c>
      <c r="I59" s="167">
        <f t="shared" si="7"/>
        <v>2066.98</v>
      </c>
      <c r="J59" s="162">
        <f t="shared" si="4"/>
        <v>293014.40000000002</v>
      </c>
      <c r="K59" s="162">
        <f t="shared" si="5"/>
        <v>0</v>
      </c>
      <c r="L59" s="162">
        <f t="shared" si="6"/>
        <v>80115.460000000006</v>
      </c>
      <c r="M59" s="162">
        <f t="shared" si="8"/>
        <v>212898.94</v>
      </c>
      <c r="N59" s="180"/>
      <c r="P59" s="165"/>
      <c r="R59" s="162">
        <f>L59-'PAY EST 3'!L59</f>
        <v>80115.460000000006</v>
      </c>
    </row>
    <row r="60" spans="1:18">
      <c r="A60" s="251" t="s">
        <v>260</v>
      </c>
      <c r="B60" s="23" t="str">
        <f t="shared" si="0"/>
        <v>Pavement, HMA, Surface, 2" depth</v>
      </c>
      <c r="C60" s="137"/>
      <c r="D60" s="24" t="str">
        <f t="shared" si="1"/>
        <v>ton</v>
      </c>
      <c r="E60" s="231">
        <f t="shared" si="2"/>
        <v>108</v>
      </c>
      <c r="F60" s="225">
        <f t="shared" si="3"/>
        <v>1144.4000000000001</v>
      </c>
      <c r="G60" s="227"/>
      <c r="H60" s="227"/>
      <c r="I60" s="167">
        <f t="shared" si="7"/>
        <v>1144.4000000000001</v>
      </c>
      <c r="J60" s="162">
        <f t="shared" si="4"/>
        <v>123595.20000000001</v>
      </c>
      <c r="K60" s="162">
        <f t="shared" si="5"/>
        <v>0</v>
      </c>
      <c r="L60" s="162">
        <f t="shared" si="6"/>
        <v>0</v>
      </c>
      <c r="M60" s="162">
        <f t="shared" si="8"/>
        <v>123595.20000000001</v>
      </c>
      <c r="N60" s="180"/>
      <c r="P60" s="165"/>
      <c r="R60" s="162">
        <f>L60-'PAY EST 3'!L60</f>
        <v>0</v>
      </c>
    </row>
    <row r="61" spans="1:18">
      <c r="A61" s="251" t="s">
        <v>261</v>
      </c>
      <c r="B61" s="23" t="str">
        <f t="shared" si="0"/>
        <v>Removal of Sidewalk/Driveway</v>
      </c>
      <c r="C61" s="137"/>
      <c r="D61" s="24" t="str">
        <f t="shared" si="1"/>
        <v>sy</v>
      </c>
      <c r="E61" s="231">
        <f t="shared" si="2"/>
        <v>10.75</v>
      </c>
      <c r="F61" s="225">
        <f t="shared" si="3"/>
        <v>1191.7</v>
      </c>
      <c r="G61" s="227"/>
      <c r="H61" s="227">
        <v>513.56700000000001</v>
      </c>
      <c r="I61" s="167">
        <f t="shared" si="7"/>
        <v>678.13300000000004</v>
      </c>
      <c r="J61" s="162">
        <f t="shared" si="4"/>
        <v>12810.775</v>
      </c>
      <c r="K61" s="162">
        <f t="shared" si="5"/>
        <v>0</v>
      </c>
      <c r="L61" s="162">
        <f t="shared" si="6"/>
        <v>5520.8452500000003</v>
      </c>
      <c r="M61" s="162">
        <f t="shared" si="8"/>
        <v>7289.9297499999993</v>
      </c>
      <c r="N61" s="180"/>
      <c r="P61" s="165"/>
      <c r="R61" s="162">
        <f>L61-'PAY EST 3'!L61</f>
        <v>3734.1952500000007</v>
      </c>
    </row>
    <row r="62" spans="1:18">
      <c r="A62" s="316" t="s">
        <v>262</v>
      </c>
      <c r="B62" s="325" t="str">
        <f t="shared" si="0"/>
        <v>Sidewalk/Drive, PCC, 6"/4" depth</v>
      </c>
      <c r="C62" s="337"/>
      <c r="D62" s="338" t="str">
        <f t="shared" si="1"/>
        <v>sy</v>
      </c>
      <c r="E62" s="339">
        <f t="shared" si="2"/>
        <v>94</v>
      </c>
      <c r="F62" s="340">
        <f t="shared" si="3"/>
        <v>1293</v>
      </c>
      <c r="G62" s="341"/>
      <c r="H62" s="341">
        <v>290.7</v>
      </c>
      <c r="I62" s="342">
        <f t="shared" si="7"/>
        <v>1002.3</v>
      </c>
      <c r="J62" s="343">
        <f t="shared" si="4"/>
        <v>121542</v>
      </c>
      <c r="K62" s="343">
        <f t="shared" si="5"/>
        <v>0</v>
      </c>
      <c r="L62" s="343">
        <f t="shared" si="6"/>
        <v>27325.8</v>
      </c>
      <c r="M62" s="343">
        <f t="shared" si="8"/>
        <v>94216.2</v>
      </c>
      <c r="N62" s="180"/>
      <c r="P62" s="165"/>
      <c r="R62" s="343">
        <f>L62-'PAY EST 3'!L62</f>
        <v>27325.8</v>
      </c>
    </row>
    <row r="63" spans="1:18">
      <c r="A63" s="251" t="s">
        <v>263</v>
      </c>
      <c r="B63" s="23" t="str">
        <f t="shared" si="0"/>
        <v>Detectable Warning</v>
      </c>
      <c r="C63" s="137"/>
      <c r="D63" s="24" t="str">
        <f t="shared" si="1"/>
        <v>sf</v>
      </c>
      <c r="E63" s="231">
        <f t="shared" si="2"/>
        <v>45</v>
      </c>
      <c r="F63" s="225">
        <f t="shared" si="3"/>
        <v>263</v>
      </c>
      <c r="G63" s="227"/>
      <c r="H63" s="227">
        <v>20</v>
      </c>
      <c r="I63" s="167">
        <f t="shared" si="7"/>
        <v>243</v>
      </c>
      <c r="J63" s="162">
        <f t="shared" si="4"/>
        <v>11835</v>
      </c>
      <c r="K63" s="162">
        <f t="shared" si="5"/>
        <v>0</v>
      </c>
      <c r="L63" s="162">
        <f t="shared" si="6"/>
        <v>900</v>
      </c>
      <c r="M63" s="162">
        <f t="shared" si="8"/>
        <v>10935</v>
      </c>
      <c r="N63" s="180"/>
      <c r="P63" s="165"/>
      <c r="R63" s="162">
        <f>L63-'PAY EST 3'!L63</f>
        <v>900</v>
      </c>
    </row>
    <row r="64" spans="1:18">
      <c r="A64" s="251" t="s">
        <v>264</v>
      </c>
      <c r="B64" s="23" t="str">
        <f t="shared" si="0"/>
        <v>Full Depth Patch, PCC</v>
      </c>
      <c r="C64" s="137"/>
      <c r="D64" s="24" t="str">
        <f t="shared" si="1"/>
        <v>sy</v>
      </c>
      <c r="E64" s="231">
        <f t="shared" si="2"/>
        <v>112</v>
      </c>
      <c r="F64" s="225">
        <f t="shared" si="3"/>
        <v>44.2</v>
      </c>
      <c r="G64" s="227"/>
      <c r="H64" s="227">
        <v>44.7</v>
      </c>
      <c r="I64" s="167">
        <f t="shared" si="7"/>
        <v>-0.5</v>
      </c>
      <c r="J64" s="162">
        <f t="shared" si="4"/>
        <v>4950.4000000000005</v>
      </c>
      <c r="K64" s="162">
        <f t="shared" si="5"/>
        <v>0</v>
      </c>
      <c r="L64" s="162">
        <f t="shared" si="6"/>
        <v>5006.4000000000005</v>
      </c>
      <c r="M64" s="162">
        <f t="shared" si="8"/>
        <v>-56</v>
      </c>
      <c r="N64" s="180"/>
      <c r="P64" s="165"/>
      <c r="R64" s="162">
        <f>L64-'PAY EST 3'!L64</f>
        <v>5006.4000000000005</v>
      </c>
    </row>
    <row r="65" spans="1:18">
      <c r="A65" s="251" t="s">
        <v>265</v>
      </c>
      <c r="B65" s="23" t="str">
        <f t="shared" si="0"/>
        <v>Milling</v>
      </c>
      <c r="C65" s="137"/>
      <c r="D65" s="24" t="str">
        <f t="shared" si="1"/>
        <v>sy</v>
      </c>
      <c r="E65" s="231">
        <f t="shared" si="2"/>
        <v>78</v>
      </c>
      <c r="F65" s="225">
        <f t="shared" si="3"/>
        <v>52.7</v>
      </c>
      <c r="G65" s="227"/>
      <c r="H65" s="227">
        <v>0</v>
      </c>
      <c r="I65" s="167">
        <f t="shared" si="7"/>
        <v>52.7</v>
      </c>
      <c r="J65" s="162">
        <f t="shared" si="4"/>
        <v>4110.6000000000004</v>
      </c>
      <c r="K65" s="162">
        <f t="shared" si="5"/>
        <v>0</v>
      </c>
      <c r="L65" s="162">
        <f t="shared" si="6"/>
        <v>0</v>
      </c>
      <c r="M65" s="162">
        <f t="shared" si="8"/>
        <v>4110.6000000000004</v>
      </c>
      <c r="N65" s="180"/>
      <c r="P65" s="165"/>
      <c r="R65" s="162">
        <f>L65-'PAY EST 3'!L65</f>
        <v>0</v>
      </c>
    </row>
    <row r="66" spans="1:18">
      <c r="A66" s="251" t="s">
        <v>266</v>
      </c>
      <c r="B66" s="23" t="str">
        <f t="shared" si="0"/>
        <v>Pavement Removal</v>
      </c>
      <c r="C66" s="137"/>
      <c r="D66" s="24" t="str">
        <f t="shared" si="1"/>
        <v>sy</v>
      </c>
      <c r="E66" s="231">
        <f t="shared" si="2"/>
        <v>5.5</v>
      </c>
      <c r="F66" s="225">
        <f t="shared" si="3"/>
        <v>9400.1</v>
      </c>
      <c r="G66" s="227"/>
      <c r="H66" s="227">
        <v>3271.6</v>
      </c>
      <c r="I66" s="167">
        <f t="shared" si="7"/>
        <v>6128.5</v>
      </c>
      <c r="J66" s="162">
        <f t="shared" si="4"/>
        <v>51700.55</v>
      </c>
      <c r="K66" s="162">
        <f t="shared" si="5"/>
        <v>0</v>
      </c>
      <c r="L66" s="162">
        <f t="shared" si="6"/>
        <v>17993.8</v>
      </c>
      <c r="M66" s="162">
        <f t="shared" si="8"/>
        <v>33706.75</v>
      </c>
      <c r="N66" s="180"/>
      <c r="P66" s="165"/>
      <c r="R66" s="162">
        <f>L66-'PAY EST 3'!L66</f>
        <v>10238.799999999999</v>
      </c>
    </row>
    <row r="67" spans="1:18">
      <c r="A67" s="251" t="s">
        <v>288</v>
      </c>
      <c r="B67" s="23" t="str">
        <f t="shared" si="0"/>
        <v>Curb &amp; Gutter Removal</v>
      </c>
      <c r="C67" s="137"/>
      <c r="D67" s="24" t="str">
        <f t="shared" si="1"/>
        <v>lf</v>
      </c>
      <c r="E67" s="231">
        <f t="shared" si="2"/>
        <v>6.25</v>
      </c>
      <c r="F67" s="225">
        <f t="shared" si="3"/>
        <v>5281</v>
      </c>
      <c r="G67" s="227"/>
      <c r="H67" s="227">
        <v>2301</v>
      </c>
      <c r="I67" s="167">
        <f t="shared" si="7"/>
        <v>2980</v>
      </c>
      <c r="J67" s="162">
        <f t="shared" si="4"/>
        <v>33006.25</v>
      </c>
      <c r="K67" s="162">
        <f t="shared" si="5"/>
        <v>0</v>
      </c>
      <c r="L67" s="162">
        <f t="shared" si="6"/>
        <v>14381.25</v>
      </c>
      <c r="M67" s="162">
        <f t="shared" si="8"/>
        <v>18625</v>
      </c>
      <c r="N67" s="180"/>
      <c r="P67" s="165"/>
      <c r="R67" s="162">
        <f>L67-'PAY EST 3'!L67</f>
        <v>11825</v>
      </c>
    </row>
    <row r="68" spans="1:18">
      <c r="A68" s="251" t="s">
        <v>267</v>
      </c>
      <c r="B68" s="23" t="str">
        <f t="shared" si="0"/>
        <v>Engineering Fabric/Geogrid Fabric</v>
      </c>
      <c r="C68" s="137"/>
      <c r="D68" s="24" t="str">
        <f t="shared" si="1"/>
        <v>sy</v>
      </c>
      <c r="E68" s="231">
        <f t="shared" si="2"/>
        <v>3.5</v>
      </c>
      <c r="F68" s="225">
        <f t="shared" si="3"/>
        <v>2996</v>
      </c>
      <c r="G68" s="227"/>
      <c r="H68" s="227">
        <v>2820.8</v>
      </c>
      <c r="I68" s="167">
        <f t="shared" si="7"/>
        <v>175.19999999999982</v>
      </c>
      <c r="J68" s="162">
        <f t="shared" si="4"/>
        <v>10486</v>
      </c>
      <c r="K68" s="162">
        <f t="shared" si="5"/>
        <v>0</v>
      </c>
      <c r="L68" s="162">
        <f t="shared" si="6"/>
        <v>9872.8000000000011</v>
      </c>
      <c r="M68" s="162">
        <f t="shared" si="8"/>
        <v>613.19999999999891</v>
      </c>
      <c r="N68" s="180"/>
      <c r="P68" s="165"/>
      <c r="R68" s="162">
        <f>L68-'PAY EST 3'!L68</f>
        <v>9872.8000000000011</v>
      </c>
    </row>
    <row r="69" spans="1:18">
      <c r="A69" s="256"/>
      <c r="B69" s="23" t="e">
        <f t="shared" si="0"/>
        <v>#N/A</v>
      </c>
      <c r="C69" s="137"/>
      <c r="D69" s="24" t="e">
        <f t="shared" si="1"/>
        <v>#N/A</v>
      </c>
      <c r="E69" s="231" t="e">
        <f t="shared" si="2"/>
        <v>#N/A</v>
      </c>
      <c r="F69" s="225" t="e">
        <f t="shared" si="3"/>
        <v>#N/A</v>
      </c>
      <c r="G69" s="227"/>
      <c r="H69" s="227"/>
      <c r="I69" s="167" t="e">
        <f t="shared" si="7"/>
        <v>#N/A</v>
      </c>
      <c r="J69" s="162">
        <f t="shared" si="4"/>
        <v>0</v>
      </c>
      <c r="K69" s="162">
        <f t="shared" si="5"/>
        <v>0</v>
      </c>
      <c r="L69" s="162">
        <f t="shared" si="6"/>
        <v>0</v>
      </c>
      <c r="M69" s="162">
        <f t="shared" si="8"/>
        <v>0</v>
      </c>
      <c r="N69" s="180"/>
      <c r="P69" s="165"/>
      <c r="R69" s="162">
        <f>L69-'PAY EST 3'!L69</f>
        <v>0</v>
      </c>
    </row>
    <row r="70" spans="1:18">
      <c r="A70" s="251" t="s">
        <v>268</v>
      </c>
      <c r="B70" s="23" t="str">
        <f t="shared" si="0"/>
        <v>Temporary Traffic Control</v>
      </c>
      <c r="C70" s="137"/>
      <c r="D70" s="24" t="str">
        <f t="shared" si="1"/>
        <v>ls</v>
      </c>
      <c r="E70" s="231">
        <f t="shared" si="2"/>
        <v>17350</v>
      </c>
      <c r="F70" s="225">
        <f t="shared" si="3"/>
        <v>1</v>
      </c>
      <c r="G70" s="227"/>
      <c r="H70" s="227">
        <v>0.4</v>
      </c>
      <c r="I70" s="167">
        <f t="shared" si="7"/>
        <v>0.6</v>
      </c>
      <c r="J70" s="162">
        <f t="shared" si="4"/>
        <v>17350</v>
      </c>
      <c r="K70" s="162">
        <f t="shared" si="5"/>
        <v>0</v>
      </c>
      <c r="L70" s="162">
        <f t="shared" si="6"/>
        <v>6940</v>
      </c>
      <c r="M70" s="162">
        <f t="shared" si="8"/>
        <v>10410</v>
      </c>
      <c r="N70" s="180"/>
      <c r="P70" s="165"/>
      <c r="R70" s="162">
        <f>L70-'PAY EST 3'!L70</f>
        <v>1735</v>
      </c>
    </row>
    <row r="71" spans="1:18">
      <c r="A71" s="256"/>
      <c r="B71" s="23" t="e">
        <f t="shared" si="0"/>
        <v>#N/A</v>
      </c>
      <c r="C71" s="137"/>
      <c r="D71" s="24" t="e">
        <f t="shared" si="1"/>
        <v>#N/A</v>
      </c>
      <c r="E71" s="232" t="e">
        <f t="shared" si="2"/>
        <v>#N/A</v>
      </c>
      <c r="F71" s="225" t="e">
        <f t="shared" si="3"/>
        <v>#N/A</v>
      </c>
      <c r="G71" s="227"/>
      <c r="H71" s="227"/>
      <c r="I71" s="167" t="e">
        <f t="shared" si="7"/>
        <v>#N/A</v>
      </c>
      <c r="J71" s="162">
        <f t="shared" si="4"/>
        <v>0</v>
      </c>
      <c r="K71" s="162">
        <f t="shared" si="5"/>
        <v>0</v>
      </c>
      <c r="L71" s="162">
        <f t="shared" si="6"/>
        <v>0</v>
      </c>
      <c r="M71" s="162">
        <f t="shared" si="8"/>
        <v>0</v>
      </c>
      <c r="N71" s="180"/>
      <c r="P71" s="165"/>
      <c r="R71" s="162">
        <f>L71-'PAY EST 3'!L71</f>
        <v>0</v>
      </c>
    </row>
    <row r="72" spans="1:18">
      <c r="A72" s="251" t="s">
        <v>269</v>
      </c>
      <c r="B72" s="23" t="str">
        <f t="shared" si="0"/>
        <v>Wattles</v>
      </c>
      <c r="C72" s="137"/>
      <c r="D72" s="24" t="str">
        <f t="shared" si="1"/>
        <v>lf</v>
      </c>
      <c r="E72" s="232">
        <f t="shared" si="2"/>
        <v>3.7</v>
      </c>
      <c r="F72" s="225">
        <f t="shared" si="3"/>
        <v>500</v>
      </c>
      <c r="G72" s="227"/>
      <c r="H72" s="227">
        <v>74</v>
      </c>
      <c r="I72" s="167">
        <f t="shared" si="7"/>
        <v>426</v>
      </c>
      <c r="J72" s="162">
        <f t="shared" si="4"/>
        <v>1850</v>
      </c>
      <c r="K72" s="162">
        <f t="shared" si="5"/>
        <v>0</v>
      </c>
      <c r="L72" s="162">
        <f t="shared" si="6"/>
        <v>273.8</v>
      </c>
      <c r="M72" s="162">
        <f t="shared" si="8"/>
        <v>1576.2</v>
      </c>
      <c r="N72" s="180"/>
      <c r="P72" s="165"/>
      <c r="R72" s="162">
        <f>L72-'PAY EST 3'!L72</f>
        <v>0</v>
      </c>
    </row>
    <row r="73" spans="1:18">
      <c r="A73" s="251" t="s">
        <v>270</v>
      </c>
      <c r="B73" s="23" t="str">
        <f t="shared" ref="B73:B107" si="9">VLOOKUP($A73,BIDTAB,2,FALSE)</f>
        <v>Inlet Protection Device</v>
      </c>
      <c r="C73" s="137"/>
      <c r="D73" s="24" t="str">
        <f t="shared" ref="D73:D107" si="10">VLOOKUP($A73,BIDTAB,3,FALSE)</f>
        <v>ea</v>
      </c>
      <c r="E73" s="233">
        <f t="shared" ref="E73:E107" si="11">VLOOKUP($A73,BIDTAB,7,FALSE)</f>
        <v>210</v>
      </c>
      <c r="F73" s="225">
        <f t="shared" ref="F73:F107" si="12">VLOOKUP($A73,BIDTAB,4,FALSE)</f>
        <v>17</v>
      </c>
      <c r="G73" s="227"/>
      <c r="H73" s="227">
        <v>4</v>
      </c>
      <c r="I73" s="167">
        <f t="shared" si="7"/>
        <v>13</v>
      </c>
      <c r="J73" s="162">
        <f t="shared" ref="J73:J76" si="13">IF(ISERROR(F73*E73),0,F73*E73)</f>
        <v>3570</v>
      </c>
      <c r="K73" s="162">
        <f t="shared" ref="K73:K76" si="14">IF(ISERROR(G73*E73),0,G73*E73)</f>
        <v>0</v>
      </c>
      <c r="L73" s="162">
        <f t="shared" ref="L73:L76" si="15">IF(ISERROR(H73*E73),0,H73*E73)</f>
        <v>840</v>
      </c>
      <c r="M73" s="162">
        <f t="shared" si="8"/>
        <v>2730</v>
      </c>
      <c r="N73" s="180"/>
      <c r="P73" s="165"/>
      <c r="R73" s="162">
        <f>L73-'PAY EST 3'!L73</f>
        <v>0</v>
      </c>
    </row>
    <row r="74" spans="1:18">
      <c r="A74" s="251" t="s">
        <v>271</v>
      </c>
      <c r="B74" s="23" t="str">
        <f t="shared" si="9"/>
        <v>Inlet Protection Device, Maintenance</v>
      </c>
      <c r="C74" s="137"/>
      <c r="D74" s="24" t="str">
        <f t="shared" si="10"/>
        <v>ea</v>
      </c>
      <c r="E74" s="233">
        <f t="shared" si="11"/>
        <v>52.5</v>
      </c>
      <c r="F74" s="225">
        <f t="shared" si="12"/>
        <v>17</v>
      </c>
      <c r="G74" s="227"/>
      <c r="H74" s="227">
        <v>8</v>
      </c>
      <c r="I74" s="167">
        <f t="shared" ref="I74:I107" si="16">IF(ISBLANK(G74),F74,F74+G74)-H74</f>
        <v>9</v>
      </c>
      <c r="J74" s="162">
        <f t="shared" si="13"/>
        <v>892.5</v>
      </c>
      <c r="K74" s="162">
        <f t="shared" si="14"/>
        <v>0</v>
      </c>
      <c r="L74" s="162">
        <f t="shared" si="15"/>
        <v>420</v>
      </c>
      <c r="M74" s="162">
        <f t="shared" ref="M74:M76" si="17">SUM(J74:K74)-L74</f>
        <v>472.5</v>
      </c>
      <c r="N74" s="180"/>
      <c r="P74" s="165"/>
      <c r="R74" s="162">
        <f>L74-'PAY EST 3'!L74</f>
        <v>210</v>
      </c>
    </row>
    <row r="75" spans="1:18">
      <c r="A75" s="251" t="s">
        <v>272</v>
      </c>
      <c r="B75" s="23" t="str">
        <f t="shared" si="9"/>
        <v>Modular Block Retaining Wall</v>
      </c>
      <c r="C75" s="137"/>
      <c r="D75" s="24" t="str">
        <f t="shared" si="10"/>
        <v>sf</v>
      </c>
      <c r="E75" s="233">
        <f t="shared" si="11"/>
        <v>70.349999999999994</v>
      </c>
      <c r="F75" s="225">
        <f t="shared" si="12"/>
        <v>60</v>
      </c>
      <c r="G75" s="227"/>
      <c r="H75" s="227">
        <v>27</v>
      </c>
      <c r="I75" s="167">
        <f t="shared" si="16"/>
        <v>33</v>
      </c>
      <c r="J75" s="162">
        <f t="shared" si="13"/>
        <v>4221</v>
      </c>
      <c r="K75" s="162">
        <f t="shared" si="14"/>
        <v>0</v>
      </c>
      <c r="L75" s="162">
        <f t="shared" si="15"/>
        <v>1899.4499999999998</v>
      </c>
      <c r="M75" s="162">
        <f t="shared" si="17"/>
        <v>2321.5500000000002</v>
      </c>
      <c r="N75" s="180"/>
      <c r="P75" s="165"/>
      <c r="R75" s="162">
        <f>L75-'PAY EST 3'!L75</f>
        <v>1899.4499999999998</v>
      </c>
    </row>
    <row r="76" spans="1:18">
      <c r="A76" s="256"/>
      <c r="B76" s="23" t="e">
        <f t="shared" si="9"/>
        <v>#N/A</v>
      </c>
      <c r="C76" s="137"/>
      <c r="D76" s="24" t="e">
        <f t="shared" si="10"/>
        <v>#N/A</v>
      </c>
      <c r="E76" s="232" t="e">
        <f t="shared" si="11"/>
        <v>#N/A</v>
      </c>
      <c r="F76" s="225" t="e">
        <f t="shared" si="12"/>
        <v>#N/A</v>
      </c>
      <c r="G76" s="227"/>
      <c r="H76" s="227"/>
      <c r="I76" s="167" t="e">
        <f t="shared" si="16"/>
        <v>#N/A</v>
      </c>
      <c r="J76" s="162">
        <f t="shared" si="13"/>
        <v>0</v>
      </c>
      <c r="K76" s="162">
        <f t="shared" si="14"/>
        <v>0</v>
      </c>
      <c r="L76" s="162">
        <f t="shared" si="15"/>
        <v>0</v>
      </c>
      <c r="M76" s="162">
        <f t="shared" si="17"/>
        <v>0</v>
      </c>
      <c r="N76" s="180"/>
      <c r="P76" s="165"/>
      <c r="R76" s="162">
        <f>L76-'PAY EST 3'!L76</f>
        <v>0</v>
      </c>
    </row>
    <row r="77" spans="1:18">
      <c r="A77" s="251" t="s">
        <v>273</v>
      </c>
      <c r="B77" s="23" t="str">
        <f t="shared" si="9"/>
        <v>Construction Survey/Staking</v>
      </c>
      <c r="C77" s="137"/>
      <c r="D77" s="24" t="str">
        <f t="shared" si="10"/>
        <v>ls</v>
      </c>
      <c r="E77" s="232">
        <f t="shared" si="11"/>
        <v>16065</v>
      </c>
      <c r="F77" s="225">
        <f t="shared" si="12"/>
        <v>1</v>
      </c>
      <c r="G77" s="227"/>
      <c r="H77" s="227">
        <v>0.5</v>
      </c>
      <c r="I77" s="167">
        <f t="shared" si="16"/>
        <v>0.5</v>
      </c>
      <c r="J77" s="162">
        <f>IF(ISERROR(F77*E77),0,F77*E77)</f>
        <v>16065</v>
      </c>
      <c r="K77" s="162">
        <f>IF(ISERROR(G77*E77),0,G77*E77)</f>
        <v>0</v>
      </c>
      <c r="L77" s="162">
        <f>IF(ISERROR(H77*E77),0,H77*E77)</f>
        <v>8032.5</v>
      </c>
      <c r="M77" s="162">
        <f t="shared" ref="M77:M107" si="18">SUM(J77:K77)-L77</f>
        <v>8032.5</v>
      </c>
      <c r="N77" s="180"/>
      <c r="P77" s="165"/>
      <c r="R77" s="162">
        <f>L77-'PAY EST 3'!L77</f>
        <v>1606.5</v>
      </c>
    </row>
    <row r="78" spans="1:18">
      <c r="A78" s="251" t="s">
        <v>274</v>
      </c>
      <c r="B78" s="23" t="str">
        <f t="shared" si="9"/>
        <v>Pedestrian Facility Construction Survey &amp; Staking</v>
      </c>
      <c r="C78" s="137"/>
      <c r="D78" s="24" t="str">
        <f t="shared" si="10"/>
        <v>ea</v>
      </c>
      <c r="E78" s="232">
        <f t="shared" si="11"/>
        <v>275</v>
      </c>
      <c r="F78" s="225">
        <f t="shared" si="12"/>
        <v>13</v>
      </c>
      <c r="G78" s="227"/>
      <c r="H78" s="227">
        <v>0</v>
      </c>
      <c r="I78" s="167">
        <f t="shared" si="16"/>
        <v>13</v>
      </c>
      <c r="J78" s="162">
        <f t="shared" ref="J78:J107" si="19">IF(ISERROR(F78*E78),0,F78*E78)</f>
        <v>3575</v>
      </c>
      <c r="K78" s="162">
        <f t="shared" ref="K78:K107" si="20">IF(ISERROR(G78*E78),0,G78*E78)</f>
        <v>0</v>
      </c>
      <c r="L78" s="162">
        <f t="shared" ref="L78:L107" si="21">IF(ISERROR(H78*E78),0,H78*E78)</f>
        <v>0</v>
      </c>
      <c r="M78" s="162">
        <f t="shared" si="18"/>
        <v>3575</v>
      </c>
      <c r="N78" s="180"/>
      <c r="P78" s="165"/>
      <c r="R78" s="162">
        <f>L78-'PAY EST 3'!L78</f>
        <v>0</v>
      </c>
    </row>
    <row r="79" spans="1:18">
      <c r="A79" s="251" t="s">
        <v>275</v>
      </c>
      <c r="B79" s="23" t="str">
        <f t="shared" si="9"/>
        <v>Monument Preservation or Replacement</v>
      </c>
      <c r="C79" s="137"/>
      <c r="D79" s="24" t="str">
        <f t="shared" si="10"/>
        <v>ls</v>
      </c>
      <c r="E79" s="231">
        <f t="shared" si="11"/>
        <v>2310</v>
      </c>
      <c r="F79" s="225">
        <f t="shared" si="12"/>
        <v>1</v>
      </c>
      <c r="G79" s="227"/>
      <c r="H79" s="227">
        <v>0</v>
      </c>
      <c r="I79" s="167">
        <f t="shared" si="16"/>
        <v>1</v>
      </c>
      <c r="J79" s="162">
        <f t="shared" si="19"/>
        <v>2310</v>
      </c>
      <c r="K79" s="162">
        <f t="shared" si="20"/>
        <v>0</v>
      </c>
      <c r="L79" s="162">
        <f t="shared" si="21"/>
        <v>0</v>
      </c>
      <c r="M79" s="162">
        <f t="shared" si="18"/>
        <v>2310</v>
      </c>
      <c r="N79" s="180"/>
      <c r="P79" s="165"/>
      <c r="R79" s="162">
        <f>L79-'PAY EST 3'!L79</f>
        <v>0</v>
      </c>
    </row>
    <row r="80" spans="1:18">
      <c r="A80" s="251" t="s">
        <v>276</v>
      </c>
      <c r="B80" s="23" t="str">
        <f t="shared" si="9"/>
        <v>Mobilization</v>
      </c>
      <c r="C80" s="137"/>
      <c r="D80" s="24" t="str">
        <f t="shared" si="10"/>
        <v>ls</v>
      </c>
      <c r="E80" s="231">
        <f t="shared" si="11"/>
        <v>35000</v>
      </c>
      <c r="F80" s="225">
        <f t="shared" si="12"/>
        <v>1</v>
      </c>
      <c r="G80" s="227"/>
      <c r="H80" s="227">
        <v>0.4</v>
      </c>
      <c r="I80" s="167">
        <f t="shared" si="16"/>
        <v>0.6</v>
      </c>
      <c r="J80" s="162">
        <f t="shared" si="19"/>
        <v>35000</v>
      </c>
      <c r="K80" s="162">
        <f t="shared" si="20"/>
        <v>0</v>
      </c>
      <c r="L80" s="162">
        <f t="shared" si="21"/>
        <v>14000</v>
      </c>
      <c r="M80" s="162">
        <f t="shared" si="18"/>
        <v>21000</v>
      </c>
      <c r="N80" s="180"/>
      <c r="P80" s="165"/>
      <c r="R80" s="162">
        <f>L80-'PAY EST 3'!L80</f>
        <v>3500</v>
      </c>
    </row>
    <row r="81" spans="1:18">
      <c r="A81" s="251" t="s">
        <v>277</v>
      </c>
      <c r="B81" s="23" t="str">
        <f t="shared" si="9"/>
        <v>Concrete Washout</v>
      </c>
      <c r="C81" s="137"/>
      <c r="D81" s="24" t="str">
        <f t="shared" si="10"/>
        <v>ls</v>
      </c>
      <c r="E81" s="231">
        <f t="shared" si="11"/>
        <v>3900</v>
      </c>
      <c r="F81" s="225">
        <f t="shared" si="12"/>
        <v>1</v>
      </c>
      <c r="G81" s="227"/>
      <c r="H81" s="227">
        <v>0.25</v>
      </c>
      <c r="I81" s="167">
        <f t="shared" si="16"/>
        <v>0.75</v>
      </c>
      <c r="J81" s="162">
        <f t="shared" si="19"/>
        <v>3900</v>
      </c>
      <c r="K81" s="162">
        <f t="shared" si="20"/>
        <v>0</v>
      </c>
      <c r="L81" s="162">
        <f t="shared" si="21"/>
        <v>975</v>
      </c>
      <c r="M81" s="162">
        <f t="shared" si="18"/>
        <v>2925</v>
      </c>
      <c r="N81" s="180"/>
      <c r="P81" s="165"/>
      <c r="R81" s="162">
        <f>L81-'PAY EST 3'!L81</f>
        <v>975</v>
      </c>
    </row>
    <row r="82" spans="1:18">
      <c r="A82" s="256"/>
      <c r="B82" s="23" t="e">
        <f t="shared" si="9"/>
        <v>#N/A</v>
      </c>
      <c r="C82" s="137"/>
      <c r="D82" s="24" t="e">
        <f t="shared" si="10"/>
        <v>#N/A</v>
      </c>
      <c r="E82" s="231" t="e">
        <f t="shared" si="11"/>
        <v>#N/A</v>
      </c>
      <c r="F82" s="225" t="e">
        <f t="shared" si="12"/>
        <v>#N/A</v>
      </c>
      <c r="G82" s="227"/>
      <c r="H82" s="227"/>
      <c r="I82" s="167" t="e">
        <f t="shared" si="16"/>
        <v>#N/A</v>
      </c>
      <c r="J82" s="162">
        <f t="shared" si="19"/>
        <v>0</v>
      </c>
      <c r="K82" s="162">
        <f t="shared" si="20"/>
        <v>0</v>
      </c>
      <c r="L82" s="162">
        <f t="shared" si="21"/>
        <v>0</v>
      </c>
      <c r="M82" s="162">
        <f t="shared" si="18"/>
        <v>0</v>
      </c>
      <c r="N82" s="180"/>
      <c r="P82" s="165"/>
      <c r="R82" s="354">
        <f>L82-'PAY EST 3'!L82</f>
        <v>0</v>
      </c>
    </row>
    <row r="83" spans="1:18">
      <c r="A83" s="256"/>
      <c r="B83" s="23" t="e">
        <f t="shared" si="9"/>
        <v>#N/A</v>
      </c>
      <c r="C83" s="137"/>
      <c r="D83" s="24" t="e">
        <f t="shared" si="10"/>
        <v>#N/A</v>
      </c>
      <c r="E83" s="231" t="e">
        <f t="shared" si="11"/>
        <v>#N/A</v>
      </c>
      <c r="F83" s="225" t="e">
        <f t="shared" si="12"/>
        <v>#N/A</v>
      </c>
      <c r="G83" s="227"/>
      <c r="H83" s="227"/>
      <c r="I83" s="167" t="e">
        <f t="shared" si="16"/>
        <v>#N/A</v>
      </c>
      <c r="J83" s="162">
        <f t="shared" si="19"/>
        <v>0</v>
      </c>
      <c r="K83" s="162">
        <f t="shared" si="20"/>
        <v>0</v>
      </c>
      <c r="L83" s="162">
        <f t="shared" si="21"/>
        <v>0</v>
      </c>
      <c r="M83" s="162">
        <f t="shared" si="18"/>
        <v>0</v>
      </c>
      <c r="N83" s="180"/>
      <c r="P83" s="165"/>
      <c r="R83" s="354">
        <f>L83-'PAY EST 3'!L83</f>
        <v>0</v>
      </c>
    </row>
    <row r="84" spans="1:18">
      <c r="A84" s="256"/>
      <c r="B84" s="23" t="e">
        <f t="shared" si="9"/>
        <v>#N/A</v>
      </c>
      <c r="C84" s="137"/>
      <c r="D84" s="24" t="e">
        <f t="shared" si="10"/>
        <v>#N/A</v>
      </c>
      <c r="E84" s="231" t="e">
        <f t="shared" si="11"/>
        <v>#N/A</v>
      </c>
      <c r="F84" s="225" t="e">
        <f t="shared" si="12"/>
        <v>#N/A</v>
      </c>
      <c r="G84" s="227"/>
      <c r="H84" s="227"/>
      <c r="I84" s="167" t="e">
        <f t="shared" si="16"/>
        <v>#N/A</v>
      </c>
      <c r="J84" s="162">
        <f t="shared" si="19"/>
        <v>0</v>
      </c>
      <c r="K84" s="162">
        <f t="shared" si="20"/>
        <v>0</v>
      </c>
      <c r="L84" s="162">
        <f t="shared" si="21"/>
        <v>0</v>
      </c>
      <c r="M84" s="162">
        <f t="shared" si="18"/>
        <v>0</v>
      </c>
      <c r="N84" s="180"/>
      <c r="P84" s="165"/>
      <c r="R84" s="354">
        <f>L84-'PAY EST 3'!L84</f>
        <v>0</v>
      </c>
    </row>
    <row r="85" spans="1:18">
      <c r="A85" s="256"/>
      <c r="B85" s="23" t="e">
        <f t="shared" si="9"/>
        <v>#N/A</v>
      </c>
      <c r="C85" s="137"/>
      <c r="D85" s="24" t="e">
        <f t="shared" si="10"/>
        <v>#N/A</v>
      </c>
      <c r="E85" s="231" t="e">
        <f t="shared" si="11"/>
        <v>#N/A</v>
      </c>
      <c r="F85" s="225" t="e">
        <f t="shared" si="12"/>
        <v>#N/A</v>
      </c>
      <c r="G85" s="227"/>
      <c r="H85" s="227"/>
      <c r="I85" s="167" t="e">
        <f t="shared" si="16"/>
        <v>#N/A</v>
      </c>
      <c r="J85" s="162">
        <f t="shared" si="19"/>
        <v>0</v>
      </c>
      <c r="K85" s="162">
        <f t="shared" si="20"/>
        <v>0</v>
      </c>
      <c r="L85" s="162">
        <f t="shared" si="21"/>
        <v>0</v>
      </c>
      <c r="M85" s="162">
        <f t="shared" si="18"/>
        <v>0</v>
      </c>
      <c r="N85" s="180"/>
      <c r="P85" s="165"/>
      <c r="R85" s="354">
        <f>L85-'PAY EST 3'!L85</f>
        <v>0</v>
      </c>
    </row>
    <row r="86" spans="1:18">
      <c r="A86" s="256"/>
      <c r="B86" s="23" t="e">
        <f t="shared" si="9"/>
        <v>#N/A</v>
      </c>
      <c r="C86" s="137"/>
      <c r="D86" s="24" t="e">
        <f t="shared" si="10"/>
        <v>#N/A</v>
      </c>
      <c r="E86" s="231" t="e">
        <f t="shared" si="11"/>
        <v>#N/A</v>
      </c>
      <c r="F86" s="225" t="e">
        <f t="shared" si="12"/>
        <v>#N/A</v>
      </c>
      <c r="G86" s="227"/>
      <c r="H86" s="227"/>
      <c r="I86" s="167" t="e">
        <f t="shared" si="16"/>
        <v>#N/A</v>
      </c>
      <c r="J86" s="162">
        <f t="shared" si="19"/>
        <v>0</v>
      </c>
      <c r="K86" s="162">
        <f t="shared" si="20"/>
        <v>0</v>
      </c>
      <c r="L86" s="162">
        <f t="shared" si="21"/>
        <v>0</v>
      </c>
      <c r="M86" s="162">
        <f t="shared" si="18"/>
        <v>0</v>
      </c>
      <c r="N86" s="180"/>
      <c r="P86" s="165"/>
      <c r="R86" s="354">
        <f>L86-'PAY EST 3'!L86</f>
        <v>0</v>
      </c>
    </row>
    <row r="87" spans="1:18">
      <c r="A87" s="256"/>
      <c r="B87" s="23" t="e">
        <f t="shared" si="9"/>
        <v>#N/A</v>
      </c>
      <c r="C87" s="137"/>
      <c r="D87" s="24" t="e">
        <f t="shared" si="10"/>
        <v>#N/A</v>
      </c>
      <c r="E87" s="231" t="e">
        <f t="shared" si="11"/>
        <v>#N/A</v>
      </c>
      <c r="F87" s="225" t="e">
        <f t="shared" si="12"/>
        <v>#N/A</v>
      </c>
      <c r="G87" s="227"/>
      <c r="H87" s="227"/>
      <c r="I87" s="167" t="e">
        <f t="shared" si="16"/>
        <v>#N/A</v>
      </c>
      <c r="J87" s="162">
        <f t="shared" si="19"/>
        <v>0</v>
      </c>
      <c r="K87" s="162">
        <f t="shared" si="20"/>
        <v>0</v>
      </c>
      <c r="L87" s="162">
        <f t="shared" si="21"/>
        <v>0</v>
      </c>
      <c r="M87" s="162">
        <f t="shared" si="18"/>
        <v>0</v>
      </c>
      <c r="N87" s="180"/>
      <c r="P87" s="165"/>
      <c r="R87" s="354">
        <f>L87-'PAY EST 3'!L87</f>
        <v>0</v>
      </c>
    </row>
    <row r="88" spans="1:18">
      <c r="A88" s="256"/>
      <c r="B88" s="23" t="e">
        <f t="shared" si="9"/>
        <v>#N/A</v>
      </c>
      <c r="C88" s="137"/>
      <c r="D88" s="24" t="e">
        <f t="shared" si="10"/>
        <v>#N/A</v>
      </c>
      <c r="E88" s="231" t="e">
        <f t="shared" si="11"/>
        <v>#N/A</v>
      </c>
      <c r="F88" s="225" t="e">
        <f t="shared" si="12"/>
        <v>#N/A</v>
      </c>
      <c r="G88" s="227"/>
      <c r="H88" s="227"/>
      <c r="I88" s="167" t="e">
        <f t="shared" si="16"/>
        <v>#N/A</v>
      </c>
      <c r="J88" s="162">
        <f t="shared" si="19"/>
        <v>0</v>
      </c>
      <c r="K88" s="162">
        <f t="shared" si="20"/>
        <v>0</v>
      </c>
      <c r="L88" s="162">
        <f t="shared" si="21"/>
        <v>0</v>
      </c>
      <c r="M88" s="162">
        <f t="shared" si="18"/>
        <v>0</v>
      </c>
      <c r="N88" s="180"/>
      <c r="P88" s="165"/>
      <c r="R88" s="354">
        <f>L88-'PAY EST 3'!L88</f>
        <v>0</v>
      </c>
    </row>
    <row r="89" spans="1:18">
      <c r="A89" s="256"/>
      <c r="B89" s="23" t="e">
        <f t="shared" si="9"/>
        <v>#N/A</v>
      </c>
      <c r="C89" s="137"/>
      <c r="D89" s="24" t="e">
        <f t="shared" si="10"/>
        <v>#N/A</v>
      </c>
      <c r="E89" s="231" t="e">
        <f t="shared" si="11"/>
        <v>#N/A</v>
      </c>
      <c r="F89" s="225" t="e">
        <f t="shared" si="12"/>
        <v>#N/A</v>
      </c>
      <c r="G89" s="227"/>
      <c r="H89" s="227"/>
      <c r="I89" s="167" t="e">
        <f t="shared" si="16"/>
        <v>#N/A</v>
      </c>
      <c r="J89" s="162">
        <f t="shared" si="19"/>
        <v>0</v>
      </c>
      <c r="K89" s="162">
        <f t="shared" si="20"/>
        <v>0</v>
      </c>
      <c r="L89" s="162">
        <f t="shared" si="21"/>
        <v>0</v>
      </c>
      <c r="M89" s="162">
        <f t="shared" si="18"/>
        <v>0</v>
      </c>
      <c r="N89" s="180"/>
      <c r="P89" s="165"/>
      <c r="R89" s="354">
        <f>L89-'PAY EST 3'!L89</f>
        <v>0</v>
      </c>
    </row>
    <row r="90" spans="1:18">
      <c r="A90" s="256"/>
      <c r="B90" s="23" t="e">
        <f t="shared" si="9"/>
        <v>#N/A</v>
      </c>
      <c r="C90" s="137"/>
      <c r="D90" s="24" t="e">
        <f t="shared" si="10"/>
        <v>#N/A</v>
      </c>
      <c r="E90" s="231" t="e">
        <f t="shared" si="11"/>
        <v>#N/A</v>
      </c>
      <c r="F90" s="225" t="e">
        <f t="shared" si="12"/>
        <v>#N/A</v>
      </c>
      <c r="G90" s="227"/>
      <c r="H90" s="227"/>
      <c r="I90" s="167" t="e">
        <f t="shared" si="16"/>
        <v>#N/A</v>
      </c>
      <c r="J90" s="162">
        <f t="shared" si="19"/>
        <v>0</v>
      </c>
      <c r="K90" s="162">
        <f t="shared" si="20"/>
        <v>0</v>
      </c>
      <c r="L90" s="162">
        <f t="shared" si="21"/>
        <v>0</v>
      </c>
      <c r="M90" s="162">
        <f t="shared" si="18"/>
        <v>0</v>
      </c>
      <c r="N90" s="180"/>
      <c r="P90" s="165"/>
      <c r="R90" s="354">
        <f>L90-'PAY EST 3'!L90</f>
        <v>0</v>
      </c>
    </row>
    <row r="91" spans="1:18">
      <c r="A91" s="256"/>
      <c r="B91" s="23" t="e">
        <f t="shared" si="9"/>
        <v>#N/A</v>
      </c>
      <c r="C91" s="137"/>
      <c r="D91" s="24" t="e">
        <f t="shared" si="10"/>
        <v>#N/A</v>
      </c>
      <c r="E91" s="231" t="e">
        <f t="shared" si="11"/>
        <v>#N/A</v>
      </c>
      <c r="F91" s="225" t="e">
        <f t="shared" si="12"/>
        <v>#N/A</v>
      </c>
      <c r="G91" s="227"/>
      <c r="H91" s="227"/>
      <c r="I91" s="167" t="e">
        <f t="shared" si="16"/>
        <v>#N/A</v>
      </c>
      <c r="J91" s="162">
        <f t="shared" si="19"/>
        <v>0</v>
      </c>
      <c r="K91" s="162">
        <f t="shared" si="20"/>
        <v>0</v>
      </c>
      <c r="L91" s="162">
        <f t="shared" si="21"/>
        <v>0</v>
      </c>
      <c r="M91" s="162">
        <f t="shared" si="18"/>
        <v>0</v>
      </c>
      <c r="N91" s="180"/>
      <c r="P91" s="165"/>
      <c r="R91" s="354">
        <f>L91-'PAY EST 3'!L91</f>
        <v>0</v>
      </c>
    </row>
    <row r="92" spans="1:18">
      <c r="A92" s="256"/>
      <c r="B92" s="23" t="e">
        <f t="shared" si="9"/>
        <v>#N/A</v>
      </c>
      <c r="C92" s="137"/>
      <c r="D92" s="24" t="e">
        <f t="shared" si="10"/>
        <v>#N/A</v>
      </c>
      <c r="E92" s="231" t="e">
        <f t="shared" si="11"/>
        <v>#N/A</v>
      </c>
      <c r="F92" s="225" t="e">
        <f t="shared" si="12"/>
        <v>#N/A</v>
      </c>
      <c r="G92" s="227"/>
      <c r="H92" s="227"/>
      <c r="I92" s="167" t="e">
        <f t="shared" si="16"/>
        <v>#N/A</v>
      </c>
      <c r="J92" s="162">
        <f t="shared" si="19"/>
        <v>0</v>
      </c>
      <c r="K92" s="162">
        <f t="shared" si="20"/>
        <v>0</v>
      </c>
      <c r="L92" s="162">
        <f t="shared" si="21"/>
        <v>0</v>
      </c>
      <c r="M92" s="162">
        <f t="shared" si="18"/>
        <v>0</v>
      </c>
      <c r="N92" s="180"/>
      <c r="P92" s="165"/>
      <c r="R92" s="354">
        <f>L92-'PAY EST 3'!L92</f>
        <v>0</v>
      </c>
    </row>
    <row r="93" spans="1:18">
      <c r="A93" s="256"/>
      <c r="B93" s="23" t="e">
        <f t="shared" si="9"/>
        <v>#N/A</v>
      </c>
      <c r="C93" s="137"/>
      <c r="D93" s="24" t="e">
        <f t="shared" si="10"/>
        <v>#N/A</v>
      </c>
      <c r="E93" s="231" t="e">
        <f t="shared" si="11"/>
        <v>#N/A</v>
      </c>
      <c r="F93" s="225" t="e">
        <f t="shared" si="12"/>
        <v>#N/A</v>
      </c>
      <c r="G93" s="227"/>
      <c r="H93" s="227"/>
      <c r="I93" s="167" t="e">
        <f t="shared" si="16"/>
        <v>#N/A</v>
      </c>
      <c r="J93" s="162">
        <f t="shared" si="19"/>
        <v>0</v>
      </c>
      <c r="K93" s="162">
        <f t="shared" si="20"/>
        <v>0</v>
      </c>
      <c r="L93" s="162">
        <f t="shared" si="21"/>
        <v>0</v>
      </c>
      <c r="M93" s="162">
        <f t="shared" si="18"/>
        <v>0</v>
      </c>
      <c r="N93" s="180"/>
      <c r="P93" s="165"/>
      <c r="R93" s="354">
        <f>L93-'PAY EST 3'!L93</f>
        <v>0</v>
      </c>
    </row>
    <row r="94" spans="1:18" hidden="1">
      <c r="A94" s="256"/>
      <c r="B94" s="23" t="e">
        <f t="shared" si="9"/>
        <v>#N/A</v>
      </c>
      <c r="C94" s="137"/>
      <c r="D94" s="24" t="e">
        <f t="shared" si="10"/>
        <v>#N/A</v>
      </c>
      <c r="E94" s="231" t="e">
        <f t="shared" si="11"/>
        <v>#N/A</v>
      </c>
      <c r="F94" s="225" t="e">
        <f t="shared" si="12"/>
        <v>#N/A</v>
      </c>
      <c r="G94" s="227"/>
      <c r="H94" s="227"/>
      <c r="I94" s="167" t="e">
        <f t="shared" si="16"/>
        <v>#N/A</v>
      </c>
      <c r="J94" s="162">
        <f t="shared" si="19"/>
        <v>0</v>
      </c>
      <c r="K94" s="162">
        <f t="shared" si="20"/>
        <v>0</v>
      </c>
      <c r="L94" s="162">
        <f t="shared" si="21"/>
        <v>0</v>
      </c>
      <c r="M94" s="162">
        <f t="shared" si="18"/>
        <v>0</v>
      </c>
      <c r="N94" s="180"/>
      <c r="P94" s="165"/>
      <c r="R94" s="354">
        <f>L94-'PAY EST 3'!L94</f>
        <v>0</v>
      </c>
    </row>
    <row r="95" spans="1:18" hidden="1">
      <c r="A95" s="256"/>
      <c r="B95" s="23" t="e">
        <f t="shared" si="9"/>
        <v>#N/A</v>
      </c>
      <c r="C95" s="137"/>
      <c r="D95" s="24" t="e">
        <f t="shared" si="10"/>
        <v>#N/A</v>
      </c>
      <c r="E95" s="231" t="e">
        <f t="shared" si="11"/>
        <v>#N/A</v>
      </c>
      <c r="F95" s="225" t="e">
        <f t="shared" si="12"/>
        <v>#N/A</v>
      </c>
      <c r="G95" s="227"/>
      <c r="H95" s="227"/>
      <c r="I95" s="167" t="e">
        <f t="shared" si="16"/>
        <v>#N/A</v>
      </c>
      <c r="J95" s="162">
        <f t="shared" si="19"/>
        <v>0</v>
      </c>
      <c r="K95" s="162">
        <f t="shared" si="20"/>
        <v>0</v>
      </c>
      <c r="L95" s="162">
        <f t="shared" si="21"/>
        <v>0</v>
      </c>
      <c r="M95" s="162">
        <f t="shared" si="18"/>
        <v>0</v>
      </c>
      <c r="N95" s="180"/>
      <c r="P95" s="165"/>
      <c r="R95" s="354">
        <f>L95-'PAY EST 3'!L95</f>
        <v>0</v>
      </c>
    </row>
    <row r="96" spans="1:18" hidden="1">
      <c r="A96" s="256"/>
      <c r="B96" s="23" t="e">
        <f t="shared" si="9"/>
        <v>#N/A</v>
      </c>
      <c r="C96" s="137"/>
      <c r="D96" s="24" t="e">
        <f t="shared" si="10"/>
        <v>#N/A</v>
      </c>
      <c r="E96" s="231" t="e">
        <f t="shared" si="11"/>
        <v>#N/A</v>
      </c>
      <c r="F96" s="225" t="e">
        <f t="shared" si="12"/>
        <v>#N/A</v>
      </c>
      <c r="G96" s="227"/>
      <c r="H96" s="227"/>
      <c r="I96" s="167" t="e">
        <f t="shared" si="16"/>
        <v>#N/A</v>
      </c>
      <c r="J96" s="162">
        <f t="shared" si="19"/>
        <v>0</v>
      </c>
      <c r="K96" s="162">
        <f t="shared" si="20"/>
        <v>0</v>
      </c>
      <c r="L96" s="162">
        <f t="shared" si="21"/>
        <v>0</v>
      </c>
      <c r="M96" s="162">
        <f t="shared" si="18"/>
        <v>0</v>
      </c>
      <c r="N96" s="180"/>
      <c r="P96" s="165"/>
      <c r="R96" s="354">
        <f>L96-'PAY EST 3'!L96</f>
        <v>0</v>
      </c>
    </row>
    <row r="97" spans="1:19" hidden="1">
      <c r="A97" s="256"/>
      <c r="B97" s="23" t="e">
        <f t="shared" si="9"/>
        <v>#N/A</v>
      </c>
      <c r="C97" s="137"/>
      <c r="D97" s="24" t="e">
        <f t="shared" si="10"/>
        <v>#N/A</v>
      </c>
      <c r="E97" s="231" t="e">
        <f t="shared" si="11"/>
        <v>#N/A</v>
      </c>
      <c r="F97" s="225" t="e">
        <f t="shared" si="12"/>
        <v>#N/A</v>
      </c>
      <c r="G97" s="227"/>
      <c r="H97" s="227"/>
      <c r="I97" s="167" t="e">
        <f t="shared" si="16"/>
        <v>#N/A</v>
      </c>
      <c r="J97" s="162">
        <f t="shared" si="19"/>
        <v>0</v>
      </c>
      <c r="K97" s="162">
        <f t="shared" si="20"/>
        <v>0</v>
      </c>
      <c r="L97" s="162">
        <f t="shared" si="21"/>
        <v>0</v>
      </c>
      <c r="M97" s="162">
        <f t="shared" si="18"/>
        <v>0</v>
      </c>
      <c r="N97" s="180"/>
      <c r="P97" s="165"/>
      <c r="R97" s="354">
        <f>L97-'PAY EST 3'!L97</f>
        <v>0</v>
      </c>
    </row>
    <row r="98" spans="1:19" hidden="1">
      <c r="A98" s="256"/>
      <c r="B98" s="23" t="e">
        <f t="shared" si="9"/>
        <v>#N/A</v>
      </c>
      <c r="C98" s="137"/>
      <c r="D98" s="24" t="e">
        <f t="shared" si="10"/>
        <v>#N/A</v>
      </c>
      <c r="E98" s="231" t="e">
        <f t="shared" si="11"/>
        <v>#N/A</v>
      </c>
      <c r="F98" s="225" t="e">
        <f t="shared" si="12"/>
        <v>#N/A</v>
      </c>
      <c r="G98" s="227"/>
      <c r="H98" s="227"/>
      <c r="I98" s="167" t="e">
        <f t="shared" si="16"/>
        <v>#N/A</v>
      </c>
      <c r="J98" s="162">
        <f t="shared" si="19"/>
        <v>0</v>
      </c>
      <c r="K98" s="162">
        <f t="shared" si="20"/>
        <v>0</v>
      </c>
      <c r="L98" s="162">
        <f t="shared" si="21"/>
        <v>0</v>
      </c>
      <c r="M98" s="162">
        <f t="shared" si="18"/>
        <v>0</v>
      </c>
      <c r="N98" s="180"/>
      <c r="P98" s="165"/>
      <c r="R98" s="354">
        <f>L98-'PAY EST 3'!L98</f>
        <v>0</v>
      </c>
    </row>
    <row r="99" spans="1:19" hidden="1">
      <c r="A99" s="256"/>
      <c r="B99" s="23" t="e">
        <f t="shared" si="9"/>
        <v>#N/A</v>
      </c>
      <c r="C99" s="137"/>
      <c r="D99" s="24" t="e">
        <f t="shared" si="10"/>
        <v>#N/A</v>
      </c>
      <c r="E99" s="231" t="e">
        <f t="shared" si="11"/>
        <v>#N/A</v>
      </c>
      <c r="F99" s="225" t="e">
        <f t="shared" si="12"/>
        <v>#N/A</v>
      </c>
      <c r="G99" s="227"/>
      <c r="H99" s="227"/>
      <c r="I99" s="167" t="e">
        <f t="shared" si="16"/>
        <v>#N/A</v>
      </c>
      <c r="J99" s="162">
        <f t="shared" si="19"/>
        <v>0</v>
      </c>
      <c r="K99" s="162">
        <f t="shared" si="20"/>
        <v>0</v>
      </c>
      <c r="L99" s="162">
        <f t="shared" si="21"/>
        <v>0</v>
      </c>
      <c r="M99" s="162">
        <f t="shared" si="18"/>
        <v>0</v>
      </c>
      <c r="N99" s="180"/>
      <c r="P99" s="165"/>
      <c r="R99" s="354">
        <f>L99-'PAY EST 3'!L99</f>
        <v>0</v>
      </c>
    </row>
    <row r="100" spans="1:19" hidden="1">
      <c r="A100" s="256"/>
      <c r="B100" s="23" t="e">
        <f t="shared" si="9"/>
        <v>#N/A</v>
      </c>
      <c r="C100" s="137"/>
      <c r="D100" s="24" t="e">
        <f t="shared" si="10"/>
        <v>#N/A</v>
      </c>
      <c r="E100" s="231" t="e">
        <f t="shared" si="11"/>
        <v>#N/A</v>
      </c>
      <c r="F100" s="225" t="e">
        <f t="shared" si="12"/>
        <v>#N/A</v>
      </c>
      <c r="G100" s="227"/>
      <c r="H100" s="227"/>
      <c r="I100" s="167" t="e">
        <f t="shared" si="16"/>
        <v>#N/A</v>
      </c>
      <c r="J100" s="162">
        <f t="shared" si="19"/>
        <v>0</v>
      </c>
      <c r="K100" s="162">
        <f t="shared" si="20"/>
        <v>0</v>
      </c>
      <c r="L100" s="162">
        <f t="shared" si="21"/>
        <v>0</v>
      </c>
      <c r="M100" s="162">
        <f t="shared" si="18"/>
        <v>0</v>
      </c>
      <c r="N100" s="180"/>
      <c r="P100" s="165"/>
      <c r="R100" s="354">
        <f>L100-'PAY EST 3'!L100</f>
        <v>0</v>
      </c>
    </row>
    <row r="101" spans="1:19" hidden="1">
      <c r="A101" s="256"/>
      <c r="B101" s="23" t="e">
        <f t="shared" si="9"/>
        <v>#N/A</v>
      </c>
      <c r="C101" s="137"/>
      <c r="D101" s="24" t="e">
        <f t="shared" si="10"/>
        <v>#N/A</v>
      </c>
      <c r="E101" s="231" t="e">
        <f t="shared" si="11"/>
        <v>#N/A</v>
      </c>
      <c r="F101" s="225" t="e">
        <f t="shared" si="12"/>
        <v>#N/A</v>
      </c>
      <c r="G101" s="227"/>
      <c r="H101" s="227"/>
      <c r="I101" s="167" t="e">
        <f t="shared" si="16"/>
        <v>#N/A</v>
      </c>
      <c r="J101" s="162">
        <f t="shared" si="19"/>
        <v>0</v>
      </c>
      <c r="K101" s="162">
        <f t="shared" si="20"/>
        <v>0</v>
      </c>
      <c r="L101" s="162">
        <f t="shared" si="21"/>
        <v>0</v>
      </c>
      <c r="M101" s="162">
        <f t="shared" si="18"/>
        <v>0</v>
      </c>
      <c r="N101" s="180"/>
      <c r="P101" s="165"/>
      <c r="R101" s="354">
        <f>L101-'PAY EST 3'!L101</f>
        <v>0</v>
      </c>
    </row>
    <row r="102" spans="1:19" hidden="1">
      <c r="A102" s="256"/>
      <c r="B102" s="23" t="e">
        <f t="shared" si="9"/>
        <v>#N/A</v>
      </c>
      <c r="C102" s="137"/>
      <c r="D102" s="24" t="e">
        <f t="shared" si="10"/>
        <v>#N/A</v>
      </c>
      <c r="E102" s="231" t="e">
        <f t="shared" si="11"/>
        <v>#N/A</v>
      </c>
      <c r="F102" s="225" t="e">
        <f t="shared" si="12"/>
        <v>#N/A</v>
      </c>
      <c r="G102" s="227"/>
      <c r="H102" s="227"/>
      <c r="I102" s="167" t="e">
        <f t="shared" si="16"/>
        <v>#N/A</v>
      </c>
      <c r="J102" s="162">
        <f t="shared" si="19"/>
        <v>0</v>
      </c>
      <c r="K102" s="162">
        <f t="shared" si="20"/>
        <v>0</v>
      </c>
      <c r="L102" s="162">
        <f t="shared" si="21"/>
        <v>0</v>
      </c>
      <c r="M102" s="162">
        <f t="shared" si="18"/>
        <v>0</v>
      </c>
      <c r="N102" s="180"/>
      <c r="P102" s="165"/>
      <c r="R102" s="354">
        <f>L102-'PAY EST 3'!L102</f>
        <v>0</v>
      </c>
    </row>
    <row r="103" spans="1:19" hidden="1">
      <c r="A103" s="256"/>
      <c r="B103" s="23" t="e">
        <f t="shared" si="9"/>
        <v>#N/A</v>
      </c>
      <c r="C103" s="137"/>
      <c r="D103" s="24" t="e">
        <f t="shared" si="10"/>
        <v>#N/A</v>
      </c>
      <c r="E103" s="231" t="e">
        <f t="shared" si="11"/>
        <v>#N/A</v>
      </c>
      <c r="F103" s="225" t="e">
        <f t="shared" si="12"/>
        <v>#N/A</v>
      </c>
      <c r="G103" s="227"/>
      <c r="H103" s="227"/>
      <c r="I103" s="167" t="e">
        <f t="shared" si="16"/>
        <v>#N/A</v>
      </c>
      <c r="J103" s="162">
        <f t="shared" si="19"/>
        <v>0</v>
      </c>
      <c r="K103" s="162">
        <f t="shared" si="20"/>
        <v>0</v>
      </c>
      <c r="L103" s="162">
        <f t="shared" si="21"/>
        <v>0</v>
      </c>
      <c r="M103" s="162">
        <f t="shared" si="18"/>
        <v>0</v>
      </c>
      <c r="N103" s="180"/>
      <c r="P103" s="165"/>
      <c r="R103" s="354">
        <f>L103-'PAY EST 3'!L103</f>
        <v>0</v>
      </c>
    </row>
    <row r="104" spans="1:19" hidden="1">
      <c r="A104" s="256"/>
      <c r="B104" s="23" t="e">
        <f t="shared" si="9"/>
        <v>#N/A</v>
      </c>
      <c r="C104" s="137"/>
      <c r="D104" s="24" t="e">
        <f t="shared" si="10"/>
        <v>#N/A</v>
      </c>
      <c r="E104" s="231" t="e">
        <f t="shared" si="11"/>
        <v>#N/A</v>
      </c>
      <c r="F104" s="225" t="e">
        <f t="shared" si="12"/>
        <v>#N/A</v>
      </c>
      <c r="G104" s="227"/>
      <c r="H104" s="227"/>
      <c r="I104" s="167" t="e">
        <f t="shared" si="16"/>
        <v>#N/A</v>
      </c>
      <c r="J104" s="162">
        <f t="shared" si="19"/>
        <v>0</v>
      </c>
      <c r="K104" s="162">
        <f t="shared" si="20"/>
        <v>0</v>
      </c>
      <c r="L104" s="162">
        <f t="shared" si="21"/>
        <v>0</v>
      </c>
      <c r="M104" s="162">
        <f t="shared" si="18"/>
        <v>0</v>
      </c>
      <c r="N104" s="180"/>
      <c r="P104" s="165"/>
      <c r="R104" s="354">
        <f>L104-'PAY EST 3'!L104</f>
        <v>0</v>
      </c>
    </row>
    <row r="105" spans="1:19" hidden="1">
      <c r="A105" s="256"/>
      <c r="B105" s="23" t="e">
        <f t="shared" si="9"/>
        <v>#N/A</v>
      </c>
      <c r="C105" s="137"/>
      <c r="D105" s="24" t="e">
        <f t="shared" si="10"/>
        <v>#N/A</v>
      </c>
      <c r="E105" s="231" t="e">
        <f t="shared" si="11"/>
        <v>#N/A</v>
      </c>
      <c r="F105" s="225" t="e">
        <f t="shared" si="12"/>
        <v>#N/A</v>
      </c>
      <c r="G105" s="227"/>
      <c r="H105" s="227"/>
      <c r="I105" s="167" t="e">
        <f t="shared" si="16"/>
        <v>#N/A</v>
      </c>
      <c r="J105" s="162">
        <f t="shared" si="19"/>
        <v>0</v>
      </c>
      <c r="K105" s="162">
        <f t="shared" si="20"/>
        <v>0</v>
      </c>
      <c r="L105" s="162">
        <f t="shared" si="21"/>
        <v>0</v>
      </c>
      <c r="M105" s="162">
        <f t="shared" si="18"/>
        <v>0</v>
      </c>
      <c r="N105" s="180"/>
      <c r="P105" s="165"/>
      <c r="R105" s="354">
        <f>L105-'PAY EST 3'!L105</f>
        <v>0</v>
      </c>
    </row>
    <row r="106" spans="1:19">
      <c r="A106" s="256"/>
      <c r="B106" s="23" t="e">
        <f t="shared" si="9"/>
        <v>#N/A</v>
      </c>
      <c r="C106" s="137"/>
      <c r="D106" s="24" t="e">
        <f t="shared" si="10"/>
        <v>#N/A</v>
      </c>
      <c r="E106" s="231" t="e">
        <f t="shared" si="11"/>
        <v>#N/A</v>
      </c>
      <c r="F106" s="225" t="e">
        <f t="shared" si="12"/>
        <v>#N/A</v>
      </c>
      <c r="G106" s="227"/>
      <c r="H106" s="227"/>
      <c r="I106" s="167" t="e">
        <f t="shared" si="16"/>
        <v>#N/A</v>
      </c>
      <c r="J106" s="162">
        <f t="shared" si="19"/>
        <v>0</v>
      </c>
      <c r="K106" s="162">
        <f t="shared" si="20"/>
        <v>0</v>
      </c>
      <c r="L106" s="162">
        <f t="shared" si="21"/>
        <v>0</v>
      </c>
      <c r="M106" s="162">
        <f t="shared" si="18"/>
        <v>0</v>
      </c>
      <c r="N106" s="180"/>
      <c r="P106" s="165"/>
      <c r="R106" s="354">
        <f>L106-'PAY EST 3'!L106</f>
        <v>0</v>
      </c>
    </row>
    <row r="107" spans="1:19">
      <c r="A107" s="256"/>
      <c r="B107" s="23" t="e">
        <f t="shared" si="9"/>
        <v>#N/A</v>
      </c>
      <c r="C107" s="137"/>
      <c r="D107" s="24" t="e">
        <f t="shared" si="10"/>
        <v>#N/A</v>
      </c>
      <c r="E107" s="231" t="e">
        <f t="shared" si="11"/>
        <v>#N/A</v>
      </c>
      <c r="F107" s="225" t="e">
        <f t="shared" si="12"/>
        <v>#N/A</v>
      </c>
      <c r="G107" s="227"/>
      <c r="H107" s="227"/>
      <c r="I107" s="167" t="e">
        <f t="shared" si="16"/>
        <v>#N/A</v>
      </c>
      <c r="J107" s="162">
        <f t="shared" si="19"/>
        <v>0</v>
      </c>
      <c r="K107" s="162">
        <f t="shared" si="20"/>
        <v>0</v>
      </c>
      <c r="L107" s="162">
        <f t="shared" si="21"/>
        <v>0</v>
      </c>
      <c r="M107" s="162">
        <f t="shared" si="18"/>
        <v>0</v>
      </c>
      <c r="N107" s="180"/>
      <c r="P107" s="165"/>
      <c r="R107" s="354">
        <f>L107-'PAY EST 3'!L107</f>
        <v>0</v>
      </c>
    </row>
    <row r="108" spans="1:19" ht="13.5" thickBot="1">
      <c r="A108" s="257"/>
      <c r="B108" s="181"/>
      <c r="C108" s="181"/>
      <c r="D108" s="182"/>
      <c r="E108" s="183"/>
      <c r="F108" s="228"/>
      <c r="G108" s="229"/>
      <c r="H108" s="229"/>
      <c r="I108" s="230"/>
      <c r="J108" s="183"/>
      <c r="K108" s="183"/>
      <c r="L108" s="183"/>
      <c r="M108" s="184"/>
      <c r="N108" s="180"/>
      <c r="P108" s="165"/>
    </row>
    <row r="109" spans="1:19" ht="13.5" thickTop="1">
      <c r="A109" s="258"/>
      <c r="B109" s="137"/>
      <c r="C109" s="137"/>
      <c r="D109" s="139"/>
      <c r="E109" s="142"/>
      <c r="F109" s="142"/>
      <c r="I109" s="185" t="s">
        <v>115</v>
      </c>
      <c r="J109" s="186">
        <f>SUM(J8:J108)</f>
        <v>1830101.355</v>
      </c>
      <c r="K109" s="187"/>
      <c r="L109" s="188">
        <f>SUM(L8:L108)</f>
        <v>889083.55025000009</v>
      </c>
      <c r="M109" s="189">
        <f>SUM(M8:M108)</f>
        <v>941017.80474999989</v>
      </c>
      <c r="N109" s="137"/>
      <c r="P109" s="165"/>
      <c r="R109" s="140" t="s">
        <v>296</v>
      </c>
      <c r="S109" s="354">
        <f>SUM(R8:R85)*0.05</f>
        <v>18118.361512500003</v>
      </c>
    </row>
    <row r="110" spans="1:19">
      <c r="A110" s="258" t="s">
        <v>56</v>
      </c>
      <c r="B110" s="137"/>
      <c r="C110" s="137"/>
      <c r="D110" s="139"/>
      <c r="E110" s="137" t="s">
        <v>57</v>
      </c>
      <c r="F110" s="137"/>
      <c r="G110" s="199" t="s">
        <v>119</v>
      </c>
      <c r="H110" s="142"/>
      <c r="K110" s="141"/>
      <c r="L110" s="141"/>
      <c r="M110" s="141" t="s">
        <v>63</v>
      </c>
      <c r="N110" s="165"/>
      <c r="O110" s="145">
        <f>L109</f>
        <v>889083.55025000009</v>
      </c>
      <c r="P110" s="165"/>
    </row>
    <row r="111" spans="1:19">
      <c r="A111" s="258"/>
      <c r="B111" s="137"/>
      <c r="E111" t="str">
        <f>'PROJECT INFO'!F16</f>
        <v>384-8101-439-7517</v>
      </c>
      <c r="F111"/>
      <c r="G111" s="217">
        <f>'PROJECT INFO'!C16</f>
        <v>0</v>
      </c>
      <c r="H111" s="347">
        <f>239596.43-S109</f>
        <v>221478.06848749999</v>
      </c>
      <c r="I111" t="str">
        <f>'PROJECT INFO'!J16</f>
        <v>(NTE $1,004,711.76)</v>
      </c>
      <c r="L111" s="141"/>
      <c r="M111" s="141" t="s">
        <v>58</v>
      </c>
      <c r="N111" s="165"/>
      <c r="O111" s="145">
        <v>0</v>
      </c>
      <c r="P111" s="165"/>
    </row>
    <row r="112" spans="1:19">
      <c r="A112" s="259" t="s">
        <v>85</v>
      </c>
      <c r="B112" s="190"/>
      <c r="C112" s="190"/>
      <c r="D112" s="207"/>
      <c r="E112" s="344" t="str">
        <f>'PROJECT INFO'!F17</f>
        <v>607-7704-39-7517</v>
      </c>
      <c r="F112" s="344"/>
      <c r="G112" s="217">
        <f>'PROJECT INFO'!C17</f>
        <v>0</v>
      </c>
      <c r="H112" s="347">
        <v>107860.8</v>
      </c>
      <c r="I112" t="str">
        <f>'PROJECT INFO'!J17</f>
        <v>(NTE $300,000.00)</v>
      </c>
      <c r="L112" s="141"/>
      <c r="M112" s="141" t="str">
        <f>IF(Q112="Y","LESS: 3% RETAINED (MAX $30,000):","LESS: 5% RETAINED:")</f>
        <v>LESS: 5% RETAINED:</v>
      </c>
      <c r="N112" s="165"/>
      <c r="O112" s="145">
        <f>IF(Q112="Y",IF(0.03*O110&lt;30000,ROUND(0.03*O110,2),30000),ROUND(0.05*O110,2))</f>
        <v>44454.18</v>
      </c>
      <c r="P112" s="165"/>
      <c r="Q112" s="191" t="s">
        <v>106</v>
      </c>
      <c r="R112" s="192" t="s">
        <v>107</v>
      </c>
    </row>
    <row r="113" spans="1:17">
      <c r="A113" s="258"/>
      <c r="B113" s="137"/>
      <c r="E113" s="345" t="str">
        <f>'PROJECT INFO'!F18</f>
        <v>510-8461489-7514</v>
      </c>
      <c r="F113" s="345"/>
      <c r="G113" s="217">
        <f>'PROJECT INFO'!C18</f>
        <v>0</v>
      </c>
      <c r="H113" s="347">
        <v>9660</v>
      </c>
      <c r="I113" t="str">
        <f>'PROJECT INFO'!J18</f>
        <v>(NTE $360,255.50)</v>
      </c>
      <c r="L113" s="141"/>
      <c r="M113" s="141" t="s">
        <v>59</v>
      </c>
      <c r="N113" s="165"/>
      <c r="O113" s="145">
        <f>O110+O111-O112</f>
        <v>844629.37025000004</v>
      </c>
      <c r="P113" s="165"/>
    </row>
    <row r="114" spans="1:17">
      <c r="A114" s="259" t="s">
        <v>60</v>
      </c>
      <c r="B114" s="190"/>
      <c r="C114" s="190"/>
      <c r="D114" s="207"/>
      <c r="E114" s="346" t="str">
        <f>'PROJECT INFO'!F19</f>
        <v>520-8542-489-7514</v>
      </c>
      <c r="F114" s="346"/>
      <c r="G114" s="217">
        <f>'PROJECT INFO'!C19</f>
        <v>0</v>
      </c>
      <c r="H114" s="347">
        <v>5250</v>
      </c>
      <c r="I114" t="str">
        <f>'PROJECT INFO'!J19</f>
        <v>(NTE $163,034.10)</v>
      </c>
      <c r="L114" s="141"/>
      <c r="M114" s="141" t="s">
        <v>61</v>
      </c>
      <c r="N114" s="165"/>
      <c r="O114" s="145">
        <f>O33</f>
        <v>500380.50000000006</v>
      </c>
      <c r="P114" s="165"/>
    </row>
    <row r="115" spans="1:17">
      <c r="A115" s="258"/>
      <c r="B115" s="137"/>
      <c r="E115">
        <f>'PROJECT INFO'!F20</f>
        <v>0</v>
      </c>
      <c r="F115"/>
      <c r="G115" s="217">
        <f>'PROJECT INFO'!C20</f>
        <v>0</v>
      </c>
      <c r="H115" s="208"/>
      <c r="I115" t="str">
        <f>'PROJECT INFO'!J20</f>
        <v>(NTE $00.00)</v>
      </c>
      <c r="L115" s="193"/>
      <c r="M115" s="193" t="s">
        <v>62</v>
      </c>
      <c r="N115" s="194"/>
      <c r="O115" s="195">
        <f>O113-O114</f>
        <v>344248.87024999998</v>
      </c>
      <c r="P115" s="165"/>
    </row>
    <row r="116" spans="1:17">
      <c r="A116" s="258"/>
      <c r="B116" s="137"/>
      <c r="C116" s="137"/>
      <c r="D116" s="139"/>
      <c r="E116">
        <f>'PROJECT INFO'!F21</f>
        <v>0</v>
      </c>
      <c r="F116"/>
      <c r="G116" s="217">
        <f>'PROJECT INFO'!C21</f>
        <v>0</v>
      </c>
      <c r="H116" s="208"/>
      <c r="I116" t="str">
        <f>'PROJECT INFO'!J21</f>
        <v>(NTE $00.00)</v>
      </c>
      <c r="K116" s="137"/>
      <c r="L116" s="137"/>
      <c r="M116" s="137"/>
      <c r="N116" s="137"/>
      <c r="O116" s="137"/>
      <c r="P116" s="165"/>
    </row>
    <row r="117" spans="1:17">
      <c r="E117">
        <f>'PROJECT INFO'!F22</f>
        <v>0</v>
      </c>
      <c r="F117"/>
      <c r="G117" s="217">
        <f>'PROJECT INFO'!C22</f>
        <v>0</v>
      </c>
      <c r="H117" s="208"/>
      <c r="I117" t="str">
        <f>'PROJECT INFO'!J22</f>
        <v>(NTE $00.00)</v>
      </c>
    </row>
    <row r="118" spans="1:17">
      <c r="E118">
        <f>'PROJECT INFO'!F23</f>
        <v>0</v>
      </c>
      <c r="F118"/>
      <c r="G118" s="217">
        <f>'PROJECT INFO'!C23</f>
        <v>0</v>
      </c>
      <c r="H118" s="208"/>
      <c r="I118" t="str">
        <f>'PROJECT INFO'!J23</f>
        <v>(NTE $00.00)</v>
      </c>
    </row>
    <row r="119" spans="1:17">
      <c r="D119" s="139"/>
      <c r="E119">
        <f>'PROJECT INFO'!F24</f>
        <v>0</v>
      </c>
      <c r="F119"/>
      <c r="G119" s="217">
        <f>'PROJECT INFO'!C24</f>
        <v>0</v>
      </c>
      <c r="H119" s="208"/>
      <c r="I119" t="str">
        <f>'PROJECT INFO'!J24</f>
        <v>(NTE $00.00)</v>
      </c>
    </row>
    <row r="120" spans="1:17">
      <c r="D120" s="139"/>
      <c r="E120">
        <f>'PROJECT INFO'!F25</f>
        <v>0</v>
      </c>
      <c r="F120"/>
      <c r="G120" s="217">
        <f>'PROJECT INFO'!C25</f>
        <v>0</v>
      </c>
      <c r="H120" s="208"/>
      <c r="I120" t="str">
        <f>'PROJECT INFO'!J25</f>
        <v>(NTE $00.00)</v>
      </c>
    </row>
    <row r="121" spans="1:17">
      <c r="A121" s="261" t="s">
        <v>122</v>
      </c>
      <c r="D121" s="139"/>
      <c r="E121" s="142"/>
      <c r="K121" s="200"/>
      <c r="L121" s="200"/>
      <c r="M121" s="201" t="s">
        <v>108</v>
      </c>
      <c r="N121" s="200"/>
      <c r="O121" s="202">
        <f>O5-O33</f>
        <v>1329720.8600000001</v>
      </c>
      <c r="Q121" s="140" t="s">
        <v>121</v>
      </c>
    </row>
    <row r="122" spans="1:17">
      <c r="D122" s="139"/>
      <c r="E122" s="142"/>
      <c r="K122" s="200"/>
      <c r="L122" s="200"/>
      <c r="M122" s="203" t="s">
        <v>109</v>
      </c>
      <c r="N122" s="204"/>
      <c r="O122" s="205">
        <f>O121-O115</f>
        <v>985471.98975000018</v>
      </c>
    </row>
    <row r="123" spans="1:17">
      <c r="E123" s="142"/>
    </row>
    <row r="124" spans="1:17">
      <c r="E124" s="142"/>
    </row>
    <row r="125" spans="1:17">
      <c r="E125" s="142"/>
    </row>
    <row r="126" spans="1:17">
      <c r="E126" s="142"/>
    </row>
    <row r="127" spans="1:17">
      <c r="E127" s="142"/>
      <c r="G127" s="140" t="s">
        <v>294</v>
      </c>
      <c r="H127" s="353">
        <f>SUM(H111:H114)</f>
        <v>344248.8684875</v>
      </c>
    </row>
    <row r="128" spans="1:17">
      <c r="E128" s="142"/>
    </row>
    <row r="129" spans="5:5">
      <c r="E129" s="142"/>
    </row>
    <row r="130" spans="5:5">
      <c r="E130" s="142"/>
    </row>
    <row r="131" spans="5:5">
      <c r="E131" s="142"/>
    </row>
    <row r="132" spans="5:5">
      <c r="E132" s="142"/>
    </row>
    <row r="133" spans="5:5">
      <c r="E133" s="142"/>
    </row>
    <row r="134" spans="5:5">
      <c r="E134" s="142"/>
    </row>
    <row r="135" spans="5:5">
      <c r="E135" s="142"/>
    </row>
    <row r="136" spans="5:5">
      <c r="E136" s="142"/>
    </row>
    <row r="137" spans="5:5">
      <c r="E137" s="142"/>
    </row>
    <row r="138" spans="5:5">
      <c r="E138" s="142"/>
    </row>
    <row r="139" spans="5:5">
      <c r="E139" s="142"/>
    </row>
    <row r="140" spans="5:5">
      <c r="E140" s="142"/>
    </row>
    <row r="141" spans="5:5">
      <c r="E141" s="142"/>
    </row>
    <row r="142" spans="5:5">
      <c r="E142" s="142"/>
    </row>
    <row r="143" spans="5:5">
      <c r="E143" s="142"/>
    </row>
    <row r="144" spans="5:5">
      <c r="E144" s="142"/>
    </row>
    <row r="145" spans="3:5">
      <c r="E145" s="142"/>
    </row>
    <row r="146" spans="3:5">
      <c r="E146" s="142"/>
    </row>
    <row r="147" spans="3:5">
      <c r="E147" s="142"/>
    </row>
    <row r="148" spans="3:5">
      <c r="C148" s="137"/>
      <c r="E148" s="142"/>
    </row>
    <row r="149" spans="3:5">
      <c r="E149" s="142"/>
    </row>
    <row r="150" spans="3:5">
      <c r="E150" s="142"/>
    </row>
  </sheetData>
  <conditionalFormatting sqref="B8:I107">
    <cfRule type="expression" dxfId="23" priority="2">
      <formula>ISERROR(B8)</formula>
    </cfRule>
  </conditionalFormatting>
  <conditionalFormatting sqref="E111:F120 H111:H120">
    <cfRule type="expression" dxfId="22" priority="4">
      <formula>ISTEXT($E111)</formula>
    </cfRule>
  </conditionalFormatting>
  <conditionalFormatting sqref="E111:I120">
    <cfRule type="expression" dxfId="21" priority="1">
      <formula>ISNUMBER($E111)</formula>
    </cfRule>
  </conditionalFormatting>
  <conditionalFormatting sqref="K8:K107">
    <cfRule type="cellIs" dxfId="20" priority="3" operator="equal">
      <formula>0</formula>
    </cfRule>
  </conditionalFormatting>
  <pageMargins left="0.25" right="0.25" top="0.25" bottom="0.25" header="0.15" footer="0.15"/>
  <pageSetup scale="53" fitToHeight="0" orientation="landscape" r:id="rId1"/>
  <headerFooter alignWithMargins="0">
    <oddFooter>&amp;LCC: Project Engineer, PW Mgmt. Asst., Finance, Contractor&amp;R&amp;D | &amp;T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51</vt:i4>
      </vt:variant>
    </vt:vector>
  </HeadingPairs>
  <TitlesOfParts>
    <vt:vector size="68" baseType="lpstr">
      <vt:lpstr>PROJECT INFO</vt:lpstr>
      <vt:lpstr>BIDTAB</vt:lpstr>
      <vt:lpstr>CHANGEORDER</vt:lpstr>
      <vt:lpstr>CHANGEORDER 1</vt:lpstr>
      <vt:lpstr>CHANGEORDER 2</vt:lpstr>
      <vt:lpstr>PAY EST 1</vt:lpstr>
      <vt:lpstr>PAY EST 2</vt:lpstr>
      <vt:lpstr>PAY EST 3</vt:lpstr>
      <vt:lpstr>PAY EST 4 </vt:lpstr>
      <vt:lpstr>PAY EST 5 NP</vt:lpstr>
      <vt:lpstr>PAY EST 6</vt:lpstr>
      <vt:lpstr>PAY EST 7</vt:lpstr>
      <vt:lpstr>CO 3 BAL NP</vt:lpstr>
      <vt:lpstr>PAY EST 8 Bal</vt:lpstr>
      <vt:lpstr>CHANGEORDER 4</vt:lpstr>
      <vt:lpstr>PAY EST 9 Final</vt:lpstr>
      <vt:lpstr>CAF Table</vt:lpstr>
      <vt:lpstr>Account_Number0</vt:lpstr>
      <vt:lpstr>Account_Number1</vt:lpstr>
      <vt:lpstr>Account_Number2</vt:lpstr>
      <vt:lpstr>Account_Number3</vt:lpstr>
      <vt:lpstr>Account_Number4</vt:lpstr>
      <vt:lpstr>Account_Number5</vt:lpstr>
      <vt:lpstr>Account_Number6</vt:lpstr>
      <vt:lpstr>Account_Number7</vt:lpstr>
      <vt:lpstr>Account_Number8</vt:lpstr>
      <vt:lpstr>Account_Number9</vt:lpstr>
      <vt:lpstr>Award_Amount</vt:lpstr>
      <vt:lpstr>Bid_Let_Date</vt:lpstr>
      <vt:lpstr>BIDTAB</vt:lpstr>
      <vt:lpstr>Business_Office_Email</vt:lpstr>
      <vt:lpstr>Contract_Date</vt:lpstr>
      <vt:lpstr>Contractor_Address1</vt:lpstr>
      <vt:lpstr>Contractor_Address2</vt:lpstr>
      <vt:lpstr>Contractor_Name</vt:lpstr>
      <vt:lpstr>Department</vt:lpstr>
      <vt:lpstr>Division</vt:lpstr>
      <vt:lpstr>Fiscal_Year</vt:lpstr>
      <vt:lpstr>Location</vt:lpstr>
      <vt:lpstr>BIDTAB!Print_Area</vt:lpstr>
      <vt:lpstr>CHANGEORDER!Print_Area</vt:lpstr>
      <vt:lpstr>'CHANGEORDER 1'!Print_Area</vt:lpstr>
      <vt:lpstr>'CHANGEORDER 2'!Print_Area</vt:lpstr>
      <vt:lpstr>'CHANGEORDER 4'!Print_Area</vt:lpstr>
      <vt:lpstr>'CO 3 BAL NP'!Print_Area</vt:lpstr>
      <vt:lpstr>'PAY EST 1'!Print_Area</vt:lpstr>
      <vt:lpstr>'PAY EST 2'!Print_Area</vt:lpstr>
      <vt:lpstr>'PAY EST 3'!Print_Area</vt:lpstr>
      <vt:lpstr>'PAY EST 4 '!Print_Area</vt:lpstr>
      <vt:lpstr>'PAY EST 5 NP'!Print_Area</vt:lpstr>
      <vt:lpstr>'PAY EST 6'!Print_Area</vt:lpstr>
      <vt:lpstr>'PAY EST 7'!Print_Area</vt:lpstr>
      <vt:lpstr>'PAY EST 8 Bal'!Print_Area</vt:lpstr>
      <vt:lpstr>'PAY EST 9 Final'!Print_Area</vt:lpstr>
      <vt:lpstr>'PROJECT INFO'!Print_Area</vt:lpstr>
      <vt:lpstr>BIDTAB!Print_Titles</vt:lpstr>
      <vt:lpstr>'PAY EST 1'!Print_Titles</vt:lpstr>
      <vt:lpstr>'PAY EST 2'!Print_Titles</vt:lpstr>
      <vt:lpstr>'PAY EST 3'!Print_Titles</vt:lpstr>
      <vt:lpstr>'PAY EST 4 '!Print_Titles</vt:lpstr>
      <vt:lpstr>'PAY EST 5 NP'!Print_Titles</vt:lpstr>
      <vt:lpstr>'PAY EST 6'!Print_Titles</vt:lpstr>
      <vt:lpstr>'PAY EST 7'!Print_Titles</vt:lpstr>
      <vt:lpstr>'PAY EST 8 Bal'!Print_Titles</vt:lpstr>
      <vt:lpstr>'PAY EST 9 Final'!Print_Titles</vt:lpstr>
      <vt:lpstr>Program</vt:lpstr>
      <vt:lpstr>Project_Engineer</vt:lpstr>
      <vt:lpstr>Purchase_Order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kathi gammon</dc:creator>
  <cp:lastModifiedBy>Bryngelson, Mindy</cp:lastModifiedBy>
  <cp:lastPrinted>2025-05-08T20:28:30Z</cp:lastPrinted>
  <dcterms:created xsi:type="dcterms:W3CDTF">1997-11-19T15:15:58Z</dcterms:created>
  <dcterms:modified xsi:type="dcterms:W3CDTF">2026-01-19T22:28:26Z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02392b3b09a84fe09c2106ec8d0418f7</vt:lpwstr>
  </property>
</Properties>
</file>